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tup1" sheetId="1" r:id="rId1"/>
    <sheet name="Setup2" sheetId="2" r:id="rId2"/>
    <sheet name="Reference Tables" sheetId="3" r:id="rId3"/>
    <sheet name="Jobs" sheetId="4" r:id="rId4"/>
    <sheet name="JA" sheetId="5" r:id="rId5"/>
    <sheet name="Job Traits" sheetId="6" r:id="rId6"/>
    <sheet name="WS" sheetId="7" r:id="rId7"/>
    <sheet name="Food" sheetId="8" r:id="rId8"/>
    <sheet name="Enemies" sheetId="9" r:id="rId9"/>
    <sheet name="Buffs" sheetId="10" r:id="rId10"/>
    <sheet name="Enfeebs" sheetId="11" r:id="rId11"/>
    <sheet name="Credits" sheetId="12" r:id="rId12"/>
  </sheets>
  <definedNames>
    <definedName name="Buffs">'Buffs'!$L$2:$L$32</definedName>
    <definedName name="Food">'Food'!$B$1:$R$1</definedName>
    <definedName name="JAWS">'Reference Tables'!$B$57:$B$59</definedName>
    <definedName name="Jobs">'Jobs'!$A$2:$A$21</definedName>
    <definedName name="Mobs">'Enemies'!$B$1:$N$1</definedName>
    <definedName name="WS">'WS'!$B$1:$AA$1</definedName>
    <definedName name="wtype">'Reference Tables'!$A$57:$A$60</definedName>
    <definedName name="YN">'Reference Tables'!$A$1:$B$1</definedName>
  </definedNames>
  <calcPr fullCalcOnLoad="1"/>
</workbook>
</file>

<file path=xl/sharedStrings.xml><?xml version="1.0" encoding="utf-8"?>
<sst xmlns="http://schemas.openxmlformats.org/spreadsheetml/2006/main" count="1046" uniqueCount="446">
  <si>
    <t>Base Stats</t>
  </si>
  <si>
    <t>Mob Stats</t>
  </si>
  <si>
    <t>Final Stats</t>
  </si>
  <si>
    <t>Final Avg.</t>
  </si>
  <si>
    <t>Berserk</t>
  </si>
  <si>
    <t>Level</t>
  </si>
  <si>
    <t>WS mods</t>
  </si>
  <si>
    <t>WS DMG Adds</t>
  </si>
  <si>
    <t>HP</t>
  </si>
  <si>
    <t>Crit Avg.</t>
  </si>
  <si>
    <t>MP</t>
  </si>
  <si>
    <t>WS Avg.</t>
  </si>
  <si>
    <t>STR</t>
  </si>
  <si>
    <t>Base Damage</t>
  </si>
  <si>
    <t>DEX</t>
  </si>
  <si>
    <t>skew</t>
  </si>
  <si>
    <t>VIT</t>
  </si>
  <si>
    <t>dSTR</t>
  </si>
  <si>
    <t>AGI</t>
  </si>
  <si>
    <t>fSTR</t>
  </si>
  <si>
    <t>INT</t>
  </si>
  <si>
    <t>fSTR2</t>
  </si>
  <si>
    <t>MND</t>
  </si>
  <si>
    <t>Ratio</t>
  </si>
  <si>
    <t>CHR</t>
  </si>
  <si>
    <t>cRatio</t>
  </si>
  <si>
    <t>Skill Level</t>
  </si>
  <si>
    <t>Acc. From:</t>
  </si>
  <si>
    <t>Total:</t>
  </si>
  <si>
    <t>min pDIF</t>
  </si>
  <si>
    <t>Attack</t>
  </si>
  <si>
    <t># of Hits</t>
  </si>
  <si>
    <t>max pDIF</t>
  </si>
  <si>
    <t xml:space="preserve">Acc. </t>
  </si>
  <si>
    <t>Crit Chance?</t>
  </si>
  <si>
    <t>YES</t>
  </si>
  <si>
    <t>min pDIF crit</t>
  </si>
  <si>
    <t>Defense</t>
  </si>
  <si>
    <t>max pDIF crit</t>
  </si>
  <si>
    <t>Evasion</t>
  </si>
  <si>
    <t>min DMG</t>
  </si>
  <si>
    <t>W. DMG</t>
  </si>
  <si>
    <t>max DMG</t>
  </si>
  <si>
    <t>Delay</t>
  </si>
  <si>
    <t>Avg DMG</t>
  </si>
  <si>
    <t>W2 DMG</t>
  </si>
  <si>
    <t>Crit min</t>
  </si>
  <si>
    <t>W2 Delay</t>
  </si>
  <si>
    <t>Crit Max</t>
  </si>
  <si>
    <t>WSC</t>
  </si>
  <si>
    <t>Hasso Effect</t>
  </si>
  <si>
    <t>WS Alpha</t>
  </si>
  <si>
    <t>Berserk?</t>
  </si>
  <si>
    <t>NO</t>
  </si>
  <si>
    <t>dTP</t>
  </si>
  <si>
    <t>Double Attack</t>
  </si>
  <si>
    <t>fTP</t>
  </si>
  <si>
    <t>Store TP</t>
  </si>
  <si>
    <t>WS Min.</t>
  </si>
  <si>
    <t>Haste</t>
  </si>
  <si>
    <t>WS Max</t>
  </si>
  <si>
    <t>WSx Min.</t>
  </si>
  <si>
    <t>Crit pDIF mod</t>
  </si>
  <si>
    <t>WSx Max</t>
  </si>
  <si>
    <t>Critical Rate</t>
  </si>
  <si>
    <t>WSCrit Min.</t>
  </si>
  <si>
    <t>Typical WS TP</t>
  </si>
  <si>
    <t>WSCrit Max</t>
  </si>
  <si>
    <t>WS Gorget?</t>
  </si>
  <si>
    <t>WSx Avg.</t>
  </si>
  <si>
    <t>WSCrit Avg.</t>
  </si>
  <si>
    <t>Hit Rate</t>
  </si>
  <si>
    <t>1st Hit Avg.</t>
  </si>
  <si>
    <t xml:space="preserve">Delay Red: </t>
  </si>
  <si>
    <t>Extra Hit Avg.</t>
  </si>
  <si>
    <t>Meditate effect</t>
  </si>
  <si>
    <t>Avg. Crit</t>
  </si>
  <si>
    <t>Avg WS</t>
  </si>
  <si>
    <t>TP/Hit</t>
  </si>
  <si>
    <t>Hits to WS</t>
  </si>
  <si>
    <t>Seconds to total:</t>
  </si>
  <si>
    <t>Weighted Avg.</t>
  </si>
  <si>
    <t># Hits</t>
  </si>
  <si>
    <t>Total Dmg:</t>
  </si>
  <si>
    <t>Acc. Adj:</t>
  </si>
  <si>
    <t>WS Time</t>
  </si>
  <si>
    <t># WS</t>
  </si>
  <si>
    <t>WS Total</t>
  </si>
  <si>
    <t>Totals:</t>
  </si>
  <si>
    <t>Avg. Hit</t>
  </si>
  <si>
    <t>Total Melee</t>
  </si>
  <si>
    <t>Avg. WS</t>
  </si>
  <si>
    <t>Total DMG</t>
  </si>
  <si>
    <t>fSTR2 Table</t>
  </si>
  <si>
    <t>Min</t>
  </si>
  <si>
    <t>Max</t>
  </si>
  <si>
    <t>WS alpha</t>
  </si>
  <si>
    <t>Warcry Effect</t>
  </si>
  <si>
    <t>Last Resort</t>
  </si>
  <si>
    <t>Warcry</t>
  </si>
  <si>
    <t>Stacked</t>
  </si>
  <si>
    <t>Nominal</t>
  </si>
  <si>
    <t>warcry</t>
  </si>
  <si>
    <t>Last resort</t>
  </si>
  <si>
    <t>Stacked Avg.</t>
  </si>
  <si>
    <t>WAR</t>
  </si>
  <si>
    <t>MNK</t>
  </si>
  <si>
    <t>THF</t>
  </si>
  <si>
    <t>WHM</t>
  </si>
  <si>
    <t>BLM</t>
  </si>
  <si>
    <t>RDM</t>
  </si>
  <si>
    <t>PLD</t>
  </si>
  <si>
    <t>DRK</t>
  </si>
  <si>
    <t>BST</t>
  </si>
  <si>
    <t>SMN</t>
  </si>
  <si>
    <t>DRG</t>
  </si>
  <si>
    <t>PUP</t>
  </si>
  <si>
    <t>RNG</t>
  </si>
  <si>
    <t>SAM</t>
  </si>
  <si>
    <t>NIN</t>
  </si>
  <si>
    <t>BRD</t>
  </si>
  <si>
    <t>DNC</t>
  </si>
  <si>
    <t>SCH</t>
  </si>
  <si>
    <t>BLU</t>
  </si>
  <si>
    <t>COR</t>
  </si>
  <si>
    <t>Sub</t>
  </si>
  <si>
    <t>Main</t>
  </si>
  <si>
    <t>Sub lvl</t>
  </si>
  <si>
    <t>Dancer</t>
  </si>
  <si>
    <t>Lethargic Daze Level</t>
  </si>
  <si>
    <t>Evasion Down Amount</t>
  </si>
  <si>
    <t>Sluggish Daze Level</t>
  </si>
  <si>
    <t>Defense Down Amount</t>
  </si>
  <si>
    <t>Haste Samba</t>
  </si>
  <si>
    <t>Minuet</t>
  </si>
  <si>
    <t>Minuet2</t>
  </si>
  <si>
    <t>Minuet3</t>
  </si>
  <si>
    <t>Minuet4</t>
  </si>
  <si>
    <t>Attack up</t>
  </si>
  <si>
    <t>Acc. Up</t>
  </si>
  <si>
    <t>Madrigal1</t>
  </si>
  <si>
    <t>Madrigal2</t>
  </si>
  <si>
    <t>Haste %</t>
  </si>
  <si>
    <t>STR1</t>
  </si>
  <si>
    <t>STR2</t>
  </si>
  <si>
    <t>DEX1</t>
  </si>
  <si>
    <t>DEX2</t>
  </si>
  <si>
    <t>AGI1</t>
  </si>
  <si>
    <t>AGI2</t>
  </si>
  <si>
    <t>VIT1</t>
  </si>
  <si>
    <t>VIT2</t>
  </si>
  <si>
    <t>MND1</t>
  </si>
  <si>
    <t>MND2</t>
  </si>
  <si>
    <t>INT1</t>
  </si>
  <si>
    <t>INT2</t>
  </si>
  <si>
    <t>CHR1</t>
  </si>
  <si>
    <t>CHR2</t>
  </si>
  <si>
    <t>HunterRoll</t>
  </si>
  <si>
    <t>Acc Up</t>
  </si>
  <si>
    <t>range: 5-65</t>
  </si>
  <si>
    <t>ChaosRoll</t>
  </si>
  <si>
    <t>range: 3-41%</t>
  </si>
  <si>
    <t>SamuraiRoll</t>
  </si>
  <si>
    <t>Att. Up</t>
  </si>
  <si>
    <t>range: 4-50%</t>
  </si>
  <si>
    <t>range: 1-24%</t>
  </si>
  <si>
    <t>Crit. Hit Rate</t>
  </si>
  <si>
    <t>RogueRoll</t>
  </si>
  <si>
    <t>FighterRoll</t>
  </si>
  <si>
    <t>Ability</t>
  </si>
  <si>
    <t>Jump</t>
  </si>
  <si>
    <t>Recast (s)</t>
  </si>
  <si>
    <t>Active (s)</t>
  </si>
  <si>
    <t>High Jump</t>
  </si>
  <si>
    <t>floor((Base Damage)*(VIT/256+1))</t>
  </si>
  <si>
    <t>Agnon</t>
  </si>
  <si>
    <t>Bonus</t>
  </si>
  <si>
    <t>Value</t>
  </si>
  <si>
    <t>Acc</t>
  </si>
  <si>
    <t>Att</t>
  </si>
  <si>
    <t>Desperate Blows</t>
  </si>
  <si>
    <t>Function</t>
  </si>
  <si>
    <t>Weapon Bash</t>
  </si>
  <si>
    <t>dmg</t>
  </si>
  <si>
    <t>10% dmg</t>
  </si>
  <si>
    <t>Souleater</t>
  </si>
  <si>
    <t>Diabolic Eye</t>
  </si>
  <si>
    <t>Acc up</t>
  </si>
  <si>
    <t>Acc/hp loss - DRK Main dmg, /DRK dmg</t>
  </si>
  <si>
    <t>Martial Arts</t>
  </si>
  <si>
    <t>Martial Arts II</t>
  </si>
  <si>
    <t>Martial Arts III</t>
  </si>
  <si>
    <t>Martial Arts IV</t>
  </si>
  <si>
    <t>Martial Arts V</t>
  </si>
  <si>
    <t>Martial Arts VI</t>
  </si>
  <si>
    <t>Boost</t>
  </si>
  <si>
    <t>att up</t>
  </si>
  <si>
    <t>Focus</t>
  </si>
  <si>
    <t>Chi Blast</t>
  </si>
  <si>
    <t>MND * (#Boost * RandomNumber + 1) = DMG</t>
  </si>
  <si>
    <t>Dual Wield</t>
  </si>
  <si>
    <t>Dual Wield II</t>
  </si>
  <si>
    <t>Dual Wield III</t>
  </si>
  <si>
    <t>Dual Wield IV</t>
  </si>
  <si>
    <t>Shield Bash</t>
  </si>
  <si>
    <t>Spells</t>
  </si>
  <si>
    <t>Dia</t>
  </si>
  <si>
    <t>Dia II</t>
  </si>
  <si>
    <t>Dia III</t>
  </si>
  <si>
    <t>Gravity</t>
  </si>
  <si>
    <t>evasion Down</t>
  </si>
  <si>
    <t>Hasso</t>
  </si>
  <si>
    <t>Acc/Haste/STR</t>
  </si>
  <si>
    <t>Meditate</t>
  </si>
  <si>
    <t>tp granted</t>
  </si>
  <si>
    <t>Overwhelm</t>
  </si>
  <si>
    <t>DMG increase on WS</t>
  </si>
  <si>
    <t>Triple Attack</t>
  </si>
  <si>
    <t>Sneak Attack</t>
  </si>
  <si>
    <t>Trick Attack</t>
  </si>
  <si>
    <t>Attack Up</t>
  </si>
  <si>
    <t>Aggressor</t>
  </si>
  <si>
    <t xml:space="preserve">Gear </t>
  </si>
  <si>
    <t>Job</t>
  </si>
  <si>
    <t>Order</t>
  </si>
  <si>
    <t>Setup1 Level</t>
  </si>
  <si>
    <t>Acc  Bonus</t>
  </si>
  <si>
    <t>Att Bonus</t>
  </si>
  <si>
    <t>Dual Wield Bonus</t>
  </si>
  <si>
    <t>StoreTP</t>
  </si>
  <si>
    <t>H2H Delay</t>
  </si>
  <si>
    <t xml:space="preserve">Total: </t>
  </si>
  <si>
    <t>Double Att.</t>
  </si>
  <si>
    <t>Triple Att.</t>
  </si>
  <si>
    <t>DW</t>
  </si>
  <si>
    <t>1HANDED</t>
  </si>
  <si>
    <t>2HANDED</t>
  </si>
  <si>
    <t>Setup1</t>
  </si>
  <si>
    <t>Setup2</t>
  </si>
  <si>
    <t>tp granted /sam</t>
  </si>
  <si>
    <t>Temple Gloves Effect</t>
  </si>
  <si>
    <t>Food</t>
  </si>
  <si>
    <t>Food:</t>
  </si>
  <si>
    <t>Ambrosia</t>
  </si>
  <si>
    <t>Dragon Steak</t>
  </si>
  <si>
    <t>Att. %</t>
  </si>
  <si>
    <t>Att. Cap</t>
  </si>
  <si>
    <t>Acc. %</t>
  </si>
  <si>
    <t>Dragon Soup</t>
  </si>
  <si>
    <t>Red Curry</t>
  </si>
  <si>
    <t>Broiled Pipira</t>
  </si>
  <si>
    <t>Roast Pipira</t>
  </si>
  <si>
    <t>Arrabbiata</t>
  </si>
  <si>
    <t>Porcupine Pie</t>
  </si>
  <si>
    <t>Hedgehog Pie</t>
  </si>
  <si>
    <t>Coeurl Sub</t>
  </si>
  <si>
    <t>Carbonara</t>
  </si>
  <si>
    <t>Meat Mithkabob</t>
  </si>
  <si>
    <t>Rice Dumpling</t>
  </si>
  <si>
    <t>Acc. Cap</t>
  </si>
  <si>
    <t>Tentacle Sushi</t>
  </si>
  <si>
    <t>Sole Sushi</t>
  </si>
  <si>
    <t>Squid Sushi</t>
  </si>
  <si>
    <t>Marinara Pizza</t>
  </si>
  <si>
    <t>Sort #</t>
  </si>
  <si>
    <t>WType / WRank</t>
  </si>
  <si>
    <t>STR/DEX =&gt; Att/Acc</t>
  </si>
  <si>
    <t>Calc. Att/Acc</t>
  </si>
  <si>
    <t>Buffs</t>
  </si>
  <si>
    <t>Spell</t>
  </si>
  <si>
    <t>AdvMarch</t>
  </si>
  <si>
    <t>VictMarch</t>
  </si>
  <si>
    <t>Setup1 Totals</t>
  </si>
  <si>
    <t>Att %</t>
  </si>
  <si>
    <t>Acc.</t>
  </si>
  <si>
    <t>STRup</t>
  </si>
  <si>
    <t>DEXup</t>
  </si>
  <si>
    <t>AGIup</t>
  </si>
  <si>
    <t>VITup</t>
  </si>
  <si>
    <t>MNDup</t>
  </si>
  <si>
    <t>INTup</t>
  </si>
  <si>
    <t>CHRup</t>
  </si>
  <si>
    <t>Setup1 Used</t>
  </si>
  <si>
    <t>Setup2 Used</t>
  </si>
  <si>
    <t>Setup2 Totals</t>
  </si>
  <si>
    <t>Chaos Roll:</t>
  </si>
  <si>
    <t>No JA/Food Att:</t>
  </si>
  <si>
    <t>Berserk Att.</t>
  </si>
  <si>
    <t>Warcry Att.</t>
  </si>
  <si>
    <t>LR Att.</t>
  </si>
  <si>
    <t>Boost Att.</t>
  </si>
  <si>
    <t>WS:</t>
  </si>
  <si>
    <t>Drakesbane</t>
  </si>
  <si>
    <t>fTP mult:</t>
  </si>
  <si>
    <t>fTP Mult:</t>
  </si>
  <si>
    <t>WS Used:</t>
  </si>
  <si>
    <t>Wheeling Thrust</t>
  </si>
  <si>
    <t>SATA Base</t>
  </si>
  <si>
    <t>SA Base</t>
  </si>
  <si>
    <t>TA Base</t>
  </si>
  <si>
    <t>SA Min.</t>
  </si>
  <si>
    <t>SA Max</t>
  </si>
  <si>
    <t>TA Min.</t>
  </si>
  <si>
    <t>TA Max</t>
  </si>
  <si>
    <t>TA WS min.</t>
  </si>
  <si>
    <t>TA WS max</t>
  </si>
  <si>
    <t>SA WS min</t>
  </si>
  <si>
    <t>SA WS max</t>
  </si>
  <si>
    <t>Offhand</t>
  </si>
  <si>
    <t>Main Avg.</t>
  </si>
  <si>
    <t>Offhand Avg.</t>
  </si>
  <si>
    <t>Time Active</t>
  </si>
  <si>
    <t>Active %</t>
  </si>
  <si>
    <t>Off Crit Avg.</t>
  </si>
  <si>
    <t>nominal</t>
  </si>
  <si>
    <t>SA Avg.</t>
  </si>
  <si>
    <t>TA Avg.</t>
  </si>
  <si>
    <t>SA WS Avg.</t>
  </si>
  <si>
    <t>TA WS Avg.</t>
  </si>
  <si>
    <t>Other Abilities</t>
  </si>
  <si>
    <t>Souleater DMG</t>
  </si>
  <si>
    <t>Time (s)</t>
  </si>
  <si>
    <t>setup1</t>
  </si>
  <si>
    <t>setup2</t>
  </si>
  <si>
    <t>Total</t>
  </si>
  <si>
    <t>Accuracy JA's:</t>
  </si>
  <si>
    <t>Setup2 Level</t>
  </si>
  <si>
    <t>Weighted JA Acc:</t>
  </si>
  <si>
    <t>Total JA</t>
  </si>
  <si>
    <t>Number Performed</t>
  </si>
  <si>
    <t>Avg Dmg.</t>
  </si>
  <si>
    <t>Total Dmg</t>
  </si>
  <si>
    <t>Total TP gained</t>
  </si>
  <si>
    <t>DMG Round Avg.</t>
  </si>
  <si>
    <t>SAWS</t>
  </si>
  <si>
    <t>TAWS</t>
  </si>
  <si>
    <t>NOJAWS</t>
  </si>
  <si>
    <t># JA WS</t>
  </si>
  <si>
    <t># WS:</t>
  </si>
  <si>
    <t>Total JA Dmg:</t>
  </si>
  <si>
    <t>Total JA WS:</t>
  </si>
  <si>
    <t>JAWS Total</t>
  </si>
  <si>
    <t>H2H</t>
  </si>
  <si>
    <t>2Handed Last Resort Haste</t>
  </si>
  <si>
    <t>Setup2 Att</t>
  </si>
  <si>
    <t>Setup2 Acc</t>
  </si>
  <si>
    <t>Blade: Jin</t>
  </si>
  <si>
    <t>Blade: Ten</t>
  </si>
  <si>
    <t>Blade: Ku</t>
  </si>
  <si>
    <t>Blade: Kamu</t>
  </si>
  <si>
    <t>Dancing Edge</t>
  </si>
  <si>
    <t>Shark Bite</t>
  </si>
  <si>
    <t>Evisceration</t>
  </si>
  <si>
    <t>Mandalic Stab</t>
  </si>
  <si>
    <t>Rampage</t>
  </si>
  <si>
    <t>Raging Rush</t>
  </si>
  <si>
    <t>Impulse Drive</t>
  </si>
  <si>
    <t>Penta Thrust</t>
  </si>
  <si>
    <t>Enemy</t>
  </si>
  <si>
    <t>Greater Colibri82</t>
  </si>
  <si>
    <t>Greater Colibri81</t>
  </si>
  <si>
    <t>Mamool Ja Bluster82</t>
  </si>
  <si>
    <t>Mamool Ja Bluster83</t>
  </si>
  <si>
    <t>Mamool Ja Lurker81</t>
  </si>
  <si>
    <t>Mamool Ja Lurker83</t>
  </si>
  <si>
    <t>Mamool Ja Lurker82</t>
  </si>
  <si>
    <t>Mamool Ja Stabler81</t>
  </si>
  <si>
    <t>Mamool Ja Stabler82</t>
  </si>
  <si>
    <t>Mamool Ja Stabler83</t>
  </si>
  <si>
    <t>Lesser Colibri63</t>
  </si>
  <si>
    <t>Lesser Colibri65</t>
  </si>
  <si>
    <t>Lesser Colibri64</t>
  </si>
  <si>
    <t>Character</t>
  </si>
  <si>
    <t>Server</t>
  </si>
  <si>
    <t>Brimstone</t>
  </si>
  <si>
    <t>Unicorn</t>
  </si>
  <si>
    <t>speadsheet Creator</t>
  </si>
  <si>
    <t>debug</t>
  </si>
  <si>
    <t>Source Data information:</t>
  </si>
  <si>
    <t>http://wiki.ffxiclopedia.org/wiki/Main_Page</t>
  </si>
  <si>
    <t>http://wiki.bluegartrls.com/Main_Page</t>
  </si>
  <si>
    <t>http://www32.atwiki.jp/studiogobli/pages/13.html</t>
  </si>
  <si>
    <t>Japanese, raw source</t>
  </si>
  <si>
    <t># Swings:</t>
  </si>
  <si>
    <t>WS Tp Return:</t>
  </si>
  <si>
    <t>Spirit Taker</t>
  </si>
  <si>
    <t>Ecliptic Howl</t>
  </si>
  <si>
    <t>range: 1-25</t>
  </si>
  <si>
    <t>Ecliptic Growl</t>
  </si>
  <si>
    <t>range: 1-7</t>
  </si>
  <si>
    <t>Buffs Reference List</t>
  </si>
  <si>
    <t>Asuran Fist</t>
  </si>
  <si>
    <t>Howling Fist</t>
  </si>
  <si>
    <t>Stringing Pummel</t>
  </si>
  <si>
    <t>Tachi: Yukikaze</t>
  </si>
  <si>
    <t>Tachi: Gekko</t>
  </si>
  <si>
    <t>Tachi: Kasha</t>
  </si>
  <si>
    <t>Tachi: Rana</t>
  </si>
  <si>
    <t>Hexa Strike</t>
  </si>
  <si>
    <t>Armor Break</t>
  </si>
  <si>
    <t>Malaketh</t>
  </si>
  <si>
    <t>Leviathan</t>
  </si>
  <si>
    <t>debug/formatting.</t>
  </si>
  <si>
    <t>Ragnarok</t>
  </si>
  <si>
    <t>Add. Effect DMG:</t>
  </si>
  <si>
    <t>cRatioWS</t>
  </si>
  <si>
    <t>ratioWS</t>
  </si>
  <si>
    <t>Min. WS TP:</t>
  </si>
  <si>
    <t>fTP next mult:</t>
  </si>
  <si>
    <t>cRatio mult:</t>
  </si>
  <si>
    <t>Total WS crit:</t>
  </si>
  <si>
    <t>Avalanche Axe</t>
  </si>
  <si>
    <t>Spinning Slash</t>
  </si>
  <si>
    <t>cRatio (melee - min.) setup1</t>
  </si>
  <si>
    <t>cRatio (melee - max) setup1</t>
  </si>
  <si>
    <t>cRatio (melee - min.) setup2</t>
  </si>
  <si>
    <t>cRatio (melee - max) setup2</t>
  </si>
  <si>
    <t>nomWS</t>
  </si>
  <si>
    <t>zerkWS</t>
  </si>
  <si>
    <t>WarWS</t>
  </si>
  <si>
    <t>LRWS</t>
  </si>
  <si>
    <t>BoostWS (2x)</t>
  </si>
  <si>
    <t>stackedWS</t>
  </si>
  <si>
    <t>min pDIF ws</t>
  </si>
  <si>
    <t>max pDIF ws</t>
  </si>
  <si>
    <t>min pDIF crit ws</t>
  </si>
  <si>
    <t>max pDIF crit ws</t>
  </si>
  <si>
    <t xml:space="preserve">Boost and cRatio </t>
  </si>
  <si>
    <t>Bsphilar</t>
  </si>
  <si>
    <t>http://www.freewebs.com/vzx-01/</t>
  </si>
  <si>
    <t># swings in 30 sec</t>
  </si>
  <si>
    <t>Time/Swing</t>
  </si>
  <si>
    <t># hits</t>
  </si>
  <si>
    <t>normal hits</t>
  </si>
  <si>
    <t>Extra Hits:</t>
  </si>
  <si>
    <t>Backhand Blow</t>
  </si>
  <si>
    <t>Vorpal Blade</t>
  </si>
  <si>
    <t>Savage Blade</t>
  </si>
  <si>
    <t>Aura Statue82</t>
  </si>
  <si>
    <t>Aura Statue83</t>
  </si>
  <si>
    <t>Kirin</t>
  </si>
  <si>
    <t>Aura Statue84</t>
  </si>
  <si>
    <t>TP Bonus</t>
  </si>
  <si>
    <t>Skidz</t>
  </si>
  <si>
    <t>Asura</t>
  </si>
  <si>
    <t>Critical Hits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</si>
</sst>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###############%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0.000%"/>
    <numFmt numFmtId="172" formatCode="0.000"/>
    <numFmt numFmtId="173" formatCode="0.000000000000000%"/>
    <numFmt numFmtId="174" formatCode="0.0000%"/>
    <numFmt numFmtId="175" formatCode="0.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1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11"/>
      <name val="Arial"/>
      <family val="0"/>
    </font>
    <font>
      <i/>
      <sz val="10"/>
      <color indexed="8"/>
      <name val="Arial"/>
      <family val="2"/>
    </font>
    <font>
      <u val="single"/>
      <sz val="10"/>
      <color indexed="8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7" fillId="0" borderId="0" xfId="2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wrapText="1"/>
    </xf>
    <xf numFmtId="175" fontId="3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9" fontId="9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wrapText="1"/>
    </xf>
    <xf numFmtId="9" fontId="4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3366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iki.ffxiclopedia.org/wiki/Base_Damage" TargetMode="External" /><Relationship Id="rId2" Type="http://schemas.openxmlformats.org/officeDocument/2006/relationships/hyperlink" Target="http://wiki.ffxiclopedia.org/wiki/Base_Damage" TargetMode="External" /><Relationship Id="rId3" Type="http://schemas.openxmlformats.org/officeDocument/2006/relationships/hyperlink" Target="http://wiki.ffxiclopedia.org/wiki/Base_Damage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workbookViewId="0" topLeftCell="A31">
      <selection activeCell="H2" sqref="H2"/>
    </sheetView>
  </sheetViews>
  <sheetFormatPr defaultColWidth="9.140625" defaultRowHeight="12.75"/>
  <cols>
    <col min="1" max="1" width="18.7109375" style="0" bestFit="1" customWidth="1"/>
    <col min="2" max="2" width="13.140625" style="0" bestFit="1" customWidth="1"/>
    <col min="3" max="3" width="16.140625" style="0" bestFit="1" customWidth="1"/>
    <col min="4" max="4" width="14.421875" style="0" bestFit="1" customWidth="1"/>
    <col min="5" max="5" width="12.00390625" style="0" bestFit="1" customWidth="1"/>
    <col min="6" max="6" width="15.00390625" style="0" bestFit="1" customWidth="1"/>
    <col min="7" max="7" width="11.57421875" style="0" bestFit="1" customWidth="1"/>
    <col min="8" max="8" width="13.421875" style="0" bestFit="1" customWidth="1"/>
    <col min="9" max="9" width="15.28125" style="0" bestFit="1" customWidth="1"/>
    <col min="10" max="10" width="9.00390625" style="0" bestFit="1" customWidth="1"/>
    <col min="11" max="11" width="16.00390625" style="0" bestFit="1" customWidth="1"/>
    <col min="12" max="12" width="8.57421875" style="0" bestFit="1" customWidth="1"/>
    <col min="13" max="13" width="7.421875" style="0" bestFit="1" customWidth="1"/>
    <col min="14" max="14" width="6.57421875" style="0" bestFit="1" customWidth="1"/>
    <col min="15" max="15" width="9.8515625" style="0" bestFit="1" customWidth="1"/>
    <col min="16" max="16" width="6.57421875" style="0" bestFit="1" customWidth="1"/>
    <col min="17" max="17" width="8.28125" style="0" bestFit="1" customWidth="1"/>
    <col min="18" max="18" width="16.57421875" style="0" bestFit="1" customWidth="1"/>
    <col min="19" max="23" width="15.00390625" style="0" bestFit="1" customWidth="1"/>
  </cols>
  <sheetData>
    <row r="1" spans="1:23" s="36" customFormat="1" ht="27.75" customHeight="1">
      <c r="A1" s="34"/>
      <c r="B1" s="35" t="s">
        <v>0</v>
      </c>
      <c r="C1" s="35" t="s">
        <v>222</v>
      </c>
      <c r="D1" s="35" t="s">
        <v>241</v>
      </c>
      <c r="E1" s="35" t="s">
        <v>268</v>
      </c>
      <c r="F1" s="35" t="s">
        <v>1</v>
      </c>
      <c r="G1" s="35" t="s">
        <v>2</v>
      </c>
      <c r="H1" s="35" t="s">
        <v>295</v>
      </c>
      <c r="I1" s="35"/>
      <c r="J1" s="35" t="s">
        <v>3</v>
      </c>
      <c r="K1" s="35"/>
      <c r="L1" s="35" t="s">
        <v>101</v>
      </c>
      <c r="M1" s="34" t="s">
        <v>4</v>
      </c>
      <c r="N1" s="34" t="s">
        <v>102</v>
      </c>
      <c r="O1" s="34" t="s">
        <v>103</v>
      </c>
      <c r="P1" s="34" t="s">
        <v>195</v>
      </c>
      <c r="Q1" s="34" t="s">
        <v>100</v>
      </c>
      <c r="R1" s="34" t="s">
        <v>104</v>
      </c>
      <c r="S1" s="34"/>
      <c r="T1" s="34"/>
      <c r="U1" s="34"/>
      <c r="V1" s="34"/>
      <c r="W1" s="34"/>
    </row>
    <row r="2" spans="1:23" ht="12.75" customHeight="1">
      <c r="A2" s="1" t="s">
        <v>126</v>
      </c>
      <c r="B2" s="2" t="s">
        <v>115</v>
      </c>
      <c r="C2" s="1"/>
      <c r="D2" s="2" t="s">
        <v>261</v>
      </c>
      <c r="E2" s="2" t="s">
        <v>59</v>
      </c>
      <c r="F2" s="2" t="s">
        <v>359</v>
      </c>
      <c r="G2" s="1"/>
      <c r="H2" s="2" t="s">
        <v>292</v>
      </c>
      <c r="I2" s="1"/>
      <c r="J2" s="1"/>
      <c r="K2" s="1" t="s">
        <v>15</v>
      </c>
      <c r="L2" s="2">
        <v>1.25</v>
      </c>
      <c r="M2" s="2">
        <v>1.25</v>
      </c>
      <c r="N2" s="2">
        <v>1.25</v>
      </c>
      <c r="O2" s="2">
        <v>1.25</v>
      </c>
      <c r="P2" s="2">
        <v>1.25</v>
      </c>
      <c r="Q2" s="2">
        <v>1.25</v>
      </c>
      <c r="R2" s="1"/>
      <c r="S2" s="1"/>
      <c r="T2" s="1"/>
      <c r="U2" s="1"/>
      <c r="V2" s="1"/>
      <c r="W2" s="1"/>
    </row>
    <row r="3" spans="1:23" ht="12.75" customHeight="1">
      <c r="A3" s="1" t="s">
        <v>125</v>
      </c>
      <c r="B3" s="2" t="s">
        <v>118</v>
      </c>
      <c r="C3" s="1"/>
      <c r="D3" s="1"/>
      <c r="E3" s="2"/>
      <c r="F3" s="1"/>
      <c r="G3" s="1"/>
      <c r="H3" s="1"/>
      <c r="I3" s="1"/>
      <c r="J3" s="4">
        <f>FLOOR(((L3*L$9)+(M3*M$9)+(N3*N$9)+(O3*O$9)),1)</f>
        <v>96</v>
      </c>
      <c r="K3" s="1" t="s">
        <v>309</v>
      </c>
      <c r="L3" s="1">
        <f aca="true" t="shared" si="0" ref="L3:Q3">FLOOR((L$21*L$2),1)</f>
        <v>96</v>
      </c>
      <c r="M3" s="1">
        <f t="shared" si="0"/>
        <v>96</v>
      </c>
      <c r="N3" s="1">
        <f t="shared" si="0"/>
        <v>96</v>
      </c>
      <c r="O3" s="1">
        <f t="shared" si="0"/>
        <v>96</v>
      </c>
      <c r="P3" s="1">
        <f t="shared" si="0"/>
        <v>96</v>
      </c>
      <c r="Q3" s="1">
        <f t="shared" si="0"/>
        <v>96</v>
      </c>
      <c r="R3" s="1">
        <f>FLOOR(((L3*0.4)+(M3*0.5)+(Q3*0.1)),1)</f>
        <v>96</v>
      </c>
      <c r="S3" s="1"/>
      <c r="T3" s="1"/>
      <c r="U3" s="1"/>
      <c r="V3" s="1"/>
      <c r="W3" s="1"/>
    </row>
    <row r="4" spans="1:23" ht="12.75" customHeight="1">
      <c r="A4" s="1" t="s">
        <v>5</v>
      </c>
      <c r="B4" s="2">
        <v>75</v>
      </c>
      <c r="C4" s="2"/>
      <c r="D4" s="2"/>
      <c r="E4" s="2"/>
      <c r="F4" s="3">
        <f>HLOOKUP(MATCH($F$2,Enemies!$B$1:$Z$1),Enemies!$B$2:$Z$37,2,TRUE)</f>
        <v>82</v>
      </c>
      <c r="G4" s="3"/>
      <c r="H4" s="1" t="s">
        <v>6</v>
      </c>
      <c r="I4" s="1" t="s">
        <v>7</v>
      </c>
      <c r="J4" s="4">
        <f>FLOOR(((L4*L$9)+(M4*M$9)+(N4*N$9)+(O4*O$9)),1)</f>
        <v>225</v>
      </c>
      <c r="K4" s="1" t="s">
        <v>9</v>
      </c>
      <c r="L4" s="5">
        <f aca="true" t="shared" si="1" ref="L4:Q4">FLOOR((AVERAGE(L$22:L$23)*L$2),1)</f>
        <v>225</v>
      </c>
      <c r="M4" s="5">
        <f t="shared" si="1"/>
        <v>225</v>
      </c>
      <c r="N4" s="5">
        <f t="shared" si="1"/>
        <v>225</v>
      </c>
      <c r="O4" s="5">
        <f t="shared" si="1"/>
        <v>225</v>
      </c>
      <c r="P4" s="5">
        <f t="shared" si="1"/>
        <v>225</v>
      </c>
      <c r="Q4" s="5">
        <f t="shared" si="1"/>
        <v>225</v>
      </c>
      <c r="R4" s="1">
        <f>FLOOR(((L4*0.4)+(M4*0.5)+(Q4*0.1)),1)</f>
        <v>225</v>
      </c>
      <c r="S4" s="1"/>
      <c r="T4" s="1"/>
      <c r="U4" s="1"/>
      <c r="V4" s="1"/>
      <c r="W4" s="1"/>
    </row>
    <row r="5" spans="1:23" ht="12.75" customHeight="1">
      <c r="A5" s="1" t="s">
        <v>127</v>
      </c>
      <c r="B5" s="21">
        <f>FLOOR(B4/2,1)</f>
        <v>37</v>
      </c>
      <c r="C5" s="2"/>
      <c r="D5" s="2"/>
      <c r="E5" s="2"/>
      <c r="F5" s="2"/>
      <c r="G5" s="3"/>
      <c r="H5" s="1"/>
      <c r="I5" s="1"/>
      <c r="J5" s="4">
        <f>FLOOR(((L5*L$9)+(M5*M$9)+(N5*N$9)+(O5*O$9)),1)</f>
        <v>0</v>
      </c>
      <c r="K5" s="12" t="s">
        <v>310</v>
      </c>
      <c r="L5" s="1">
        <f aca="true" t="shared" si="2" ref="L5:Q5">IF($B$30="DW",FLOOR((L$59*L$2),1),0)</f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>FLOOR(((L5*0.4)+(M5*0.5)+(Q5*0.1)),1)</f>
        <v>0</v>
      </c>
      <c r="S5" s="1"/>
      <c r="T5" s="1"/>
      <c r="U5" s="1"/>
      <c r="V5" s="1"/>
      <c r="W5" s="1"/>
    </row>
    <row r="6" spans="1:23" ht="12.75" customHeight="1">
      <c r="A6" s="1" t="s">
        <v>8</v>
      </c>
      <c r="B6" s="2">
        <v>1454</v>
      </c>
      <c r="C6" s="2"/>
      <c r="D6" s="3">
        <f>HLOOKUP(MATCH($D$2,Food!$B$1:$Z$1),Food!$B$2:$Z$37,6,TRUE)</f>
        <v>20</v>
      </c>
      <c r="E6" s="2"/>
      <c r="F6" s="2"/>
      <c r="G6" s="3">
        <f>SUM(B6:E6)</f>
        <v>1474</v>
      </c>
      <c r="H6" s="1"/>
      <c r="I6" s="1"/>
      <c r="J6" s="4">
        <f>FLOOR(((L6*L$9)+(M6*M$9)+(N6*N$9)+(O6*O$9)),1)</f>
        <v>0</v>
      </c>
      <c r="K6" s="1" t="s">
        <v>313</v>
      </c>
      <c r="L6" s="5">
        <f aca="true" t="shared" si="3" ref="L6:Q6">IF($B$30="DW",FLOOR((AVERAGE(L$60:L$61)*L$2),1),0)</f>
        <v>0</v>
      </c>
      <c r="M6" s="5">
        <f t="shared" si="3"/>
        <v>0</v>
      </c>
      <c r="N6" s="5">
        <f t="shared" si="3"/>
        <v>0</v>
      </c>
      <c r="O6" s="5">
        <f t="shared" si="3"/>
        <v>0</v>
      </c>
      <c r="P6" s="5">
        <f t="shared" si="3"/>
        <v>0</v>
      </c>
      <c r="Q6" s="5">
        <f t="shared" si="3"/>
        <v>0</v>
      </c>
      <c r="R6" s="1">
        <f>FLOOR(((L6*0.4)+(M6*0.5)+(Q6*0.1)),1)</f>
        <v>0</v>
      </c>
      <c r="S6" s="1"/>
      <c r="T6" s="1"/>
      <c r="U6" s="1"/>
      <c r="V6" s="1"/>
      <c r="W6" s="1"/>
    </row>
    <row r="7" spans="1:23" ht="12.75" customHeight="1">
      <c r="A7" s="1" t="s">
        <v>10</v>
      </c>
      <c r="B7" s="2">
        <v>0</v>
      </c>
      <c r="C7" s="2"/>
      <c r="D7" s="3">
        <f>HLOOKUP(MATCH($D$2,Food!$B$1:$Z$1),Food!$B$2:$Z$37,7,TRUE)</f>
        <v>0</v>
      </c>
      <c r="E7" s="2"/>
      <c r="F7" s="2"/>
      <c r="G7" s="3"/>
      <c r="H7" s="3"/>
      <c r="I7" s="1"/>
      <c r="J7" s="4">
        <f>FLOOR(((L7*L$9)+(M7*M$9)+(N7*N$9)+(O7*O$9))*(1+$B$49),1)</f>
        <v>626</v>
      </c>
      <c r="K7" s="1" t="s">
        <v>11</v>
      </c>
      <c r="L7" s="1">
        <f aca="true" t="shared" si="4" ref="L7:Q7">IF($I$17&gt;0,FLOOR(((L$37+L$38)*L$2),1)+FLOOR(L$6*$I$21+L$5*(1-$I$21),1),FLOOR(((L$37+L$38)*L$2),1)+L$5)</f>
        <v>626</v>
      </c>
      <c r="M7" s="1">
        <f t="shared" si="4"/>
        <v>626</v>
      </c>
      <c r="N7" s="1">
        <f t="shared" si="4"/>
        <v>626</v>
      </c>
      <c r="O7" s="1">
        <f t="shared" si="4"/>
        <v>626</v>
      </c>
      <c r="P7" s="1">
        <f t="shared" si="4"/>
        <v>626</v>
      </c>
      <c r="Q7" s="1">
        <f t="shared" si="4"/>
        <v>626</v>
      </c>
      <c r="R7" s="1">
        <f>FLOOR(((L7*0.4)+(M7*0.5)+(Q7*0.1)),1)</f>
        <v>626</v>
      </c>
      <c r="S7" s="1"/>
      <c r="T7" s="1"/>
      <c r="U7" s="1"/>
      <c r="V7" s="1"/>
      <c r="W7" s="1"/>
    </row>
    <row r="8" spans="1:23" ht="12.75" customHeight="1">
      <c r="A8" s="1" t="s">
        <v>12</v>
      </c>
      <c r="B8" s="2">
        <v>79</v>
      </c>
      <c r="C8" s="2">
        <v>10</v>
      </c>
      <c r="D8" s="3">
        <f>HLOOKUP(MATCH($D$2,Food!$B$1:$Z$1),Food!$B$2:$Z$37,8,TRUE)</f>
        <v>5</v>
      </c>
      <c r="E8" s="3">
        <f>Buffs!I2</f>
        <v>0</v>
      </c>
      <c r="F8" s="2"/>
      <c r="G8" s="3">
        <f>SUM(B8:E8)+$B$25</f>
        <v>99</v>
      </c>
      <c r="H8" s="9">
        <f>VLOOKUP($A8,WS!$A:$AY,HLOOKUP($H$2,WS!$1:$2,2,FALSE)+1,FALSE)</f>
        <v>0.5</v>
      </c>
      <c r="I8" s="3">
        <f aca="true" t="shared" si="5" ref="I8:I14">FLOOR((H8*G8),1)</f>
        <v>49</v>
      </c>
      <c r="J8" s="1"/>
      <c r="K8" s="1" t="s">
        <v>13</v>
      </c>
      <c r="L8" s="1">
        <f aca="true" t="shared" si="6" ref="L8:Q8">FLOOR(($G$20+L$11),1)</f>
        <v>103</v>
      </c>
      <c r="M8" s="1">
        <f t="shared" si="6"/>
        <v>103</v>
      </c>
      <c r="N8" s="1">
        <f t="shared" si="6"/>
        <v>103</v>
      </c>
      <c r="O8" s="1">
        <f t="shared" si="6"/>
        <v>103</v>
      </c>
      <c r="P8" s="1">
        <f t="shared" si="6"/>
        <v>103</v>
      </c>
      <c r="Q8" s="1">
        <f t="shared" si="6"/>
        <v>103</v>
      </c>
      <c r="R8" s="1"/>
      <c r="S8" s="1"/>
      <c r="T8" s="1"/>
      <c r="U8" s="1"/>
      <c r="V8" s="1"/>
      <c r="W8" s="1"/>
    </row>
    <row r="9" spans="1:23" ht="12.75" customHeight="1">
      <c r="A9" s="1" t="s">
        <v>14</v>
      </c>
      <c r="B9" s="2">
        <v>59</v>
      </c>
      <c r="C9" s="2">
        <v>10</v>
      </c>
      <c r="D9" s="3">
        <f>HLOOKUP(MATCH($D$2,Food!$B$1:$Z$1),Food!$B$2:$Z$37,9,TRUE)</f>
        <v>6</v>
      </c>
      <c r="E9" s="3">
        <f>Buffs!I3</f>
        <v>0</v>
      </c>
      <c r="F9" s="2"/>
      <c r="G9" s="3">
        <f aca="true" t="shared" si="7" ref="G9:G14">SUM(B9:E9)</f>
        <v>75</v>
      </c>
      <c r="H9" s="9">
        <f>VLOOKUP($A9,WS!$A:$AY,HLOOKUP($H$2,WS!$1:$2,2,FALSE)+1,FALSE)</f>
        <v>0</v>
      </c>
      <c r="I9" s="3">
        <f t="shared" si="5"/>
        <v>0</v>
      </c>
      <c r="J9" s="1"/>
      <c r="K9" s="1" t="s">
        <v>311</v>
      </c>
      <c r="L9" s="24">
        <f>1-M9-N9-O9-P9</f>
        <v>1</v>
      </c>
      <c r="M9" s="24">
        <f>IF($B$2="WAR",VLOOKUP($B$4,JA!$B$61:$G$63,6,TRUE),IF($B$3="WAR",VLOOKUP($B$5,JA!$B$61:$G$63,6,TRUE),0))</f>
        <v>0</v>
      </c>
      <c r="N9" s="24">
        <f>IF($B$2="WAR",VLOOKUP($B$4,JA!$B$64:$G$76,6,TRUE),IF($B$3="WAR",VLOOKUP($B$5,JA!$B$64:$G$76,6,TRUE),0))</f>
        <v>0</v>
      </c>
      <c r="O9" s="24">
        <f>IF($B$2="DRK",VLOOKUP($B$4,JA!$B$11:$I$13,6,TRUE),IF($B$3="DRK",VLOOKUP($B$5,JA!$B$11:$I$13,6,TRUE),0))</f>
        <v>0</v>
      </c>
      <c r="P9" s="24">
        <v>0</v>
      </c>
      <c r="Q9" s="24">
        <v>1</v>
      </c>
      <c r="R9" s="1"/>
      <c r="S9" s="1"/>
      <c r="T9" s="1"/>
      <c r="U9" s="1"/>
      <c r="V9" s="1"/>
      <c r="W9" s="1"/>
    </row>
    <row r="10" spans="1:23" ht="12.75" customHeight="1">
      <c r="A10" s="1" t="s">
        <v>16</v>
      </c>
      <c r="B10" s="2">
        <v>75</v>
      </c>
      <c r="C10" s="2">
        <v>1</v>
      </c>
      <c r="D10" s="3">
        <f>HLOOKUP(MATCH($D$2,Food!$B$1:$Z$1),Food!$B$2:$Z$37,10,TRUE)</f>
        <v>0</v>
      </c>
      <c r="E10" s="3">
        <f>Buffs!I4</f>
        <v>0</v>
      </c>
      <c r="F10" s="3">
        <f>HLOOKUP(MATCH($F$2,Enemies!$B$1:$Z$1),Enemies!$B$2:$Z$37,7,TRUE)</f>
        <v>67</v>
      </c>
      <c r="G10" s="3">
        <f t="shared" si="7"/>
        <v>76</v>
      </c>
      <c r="H10" s="9">
        <f>VLOOKUP($A10,WS!$A:$AY,HLOOKUP($H$2,WS!$1:$2,2,FALSE)+1,FALSE)</f>
        <v>0</v>
      </c>
      <c r="I10" s="3">
        <f t="shared" si="5"/>
        <v>0</v>
      </c>
      <c r="J10" s="1"/>
      <c r="K10" s="1" t="s">
        <v>17</v>
      </c>
      <c r="L10" s="1">
        <f>IF((($G$8-$F$10)&gt;'Reference Tables'!$B$13),'Reference Tables'!$B$13,IF((($G$8-$F$10)&lt;'Reference Tables'!$A$13),'Reference Tables'!$A$13,($G$8-$F$10)))</f>
        <v>32</v>
      </c>
      <c r="M10" s="1">
        <f>IF((($G$8-$F$10)&gt;'Reference Tables'!$B$13),'Reference Tables'!$B$13,IF((($G$8-$F$10)&lt;'Reference Tables'!$A$13),'Reference Tables'!$A$13,($G$8-$F$10)))</f>
        <v>32</v>
      </c>
      <c r="N10" s="1">
        <f>IF((($G$8-$F$10)&gt;'Reference Tables'!$B$13),'Reference Tables'!$B$13,IF((($G$8-$F$10)&lt;'Reference Tables'!$A$13),'Reference Tables'!$A$13,($G$8-$F$10)))</f>
        <v>32</v>
      </c>
      <c r="O10" s="1">
        <f>IF((($G$8-$F$10)&gt;'Reference Tables'!$B$13),'Reference Tables'!$B$13,IF((($G$8-$F$10)&lt;'Reference Tables'!$A$13),'Reference Tables'!$A$13,($G$8-$F$10)))</f>
        <v>32</v>
      </c>
      <c r="P10" s="1">
        <f>IF((($G$8-$F$10)&gt;'Reference Tables'!$B$13),'Reference Tables'!$B$13,IF((($G$8-$F$10)&lt;'Reference Tables'!$A$13),'Reference Tables'!$A$13,($G$8-$F$10)))</f>
        <v>32</v>
      </c>
      <c r="Q10" s="1">
        <f>IF((($G$8-$F$10)&gt;'Reference Tables'!$B$13),'Reference Tables'!$B$13,IF((($G$8-$F$10)&lt;'Reference Tables'!$A$13),'Reference Tables'!$A$13,($G$8-$F$10)))</f>
        <v>32</v>
      </c>
      <c r="R10" s="1"/>
      <c r="S10" s="1"/>
      <c r="T10" s="1"/>
      <c r="U10" s="1"/>
      <c r="V10" s="1"/>
      <c r="W10" s="1"/>
    </row>
    <row r="11" spans="1:23" ht="12.75" customHeight="1">
      <c r="A11" s="1" t="s">
        <v>18</v>
      </c>
      <c r="B11" s="2">
        <v>52</v>
      </c>
      <c r="C11" s="2">
        <v>1</v>
      </c>
      <c r="D11" s="3">
        <f>HLOOKUP(MATCH($D$2,Food!$B$1:$Z$1),Food!$B$2:$Z$37,11,TRUE)</f>
        <v>0</v>
      </c>
      <c r="E11" s="3">
        <f>Buffs!I5</f>
        <v>0</v>
      </c>
      <c r="F11" s="3">
        <f>HLOOKUP(MATCH($F$2,Enemies!$B$1:$Z$1),Enemies!$B$2:$Z$37,8,TRUE)</f>
        <v>67</v>
      </c>
      <c r="G11" s="3">
        <f t="shared" si="7"/>
        <v>53</v>
      </c>
      <c r="H11" s="9">
        <f>VLOOKUP($A11,WS!$A:$AY,HLOOKUP($H$2,WS!$1:$2,2,FALSE)+1,FALSE)</f>
        <v>0</v>
      </c>
      <c r="I11" s="3">
        <f t="shared" si="5"/>
        <v>0</v>
      </c>
      <c r="J11" s="1"/>
      <c r="K11" s="1" t="s">
        <v>19</v>
      </c>
      <c r="L11" s="1">
        <f aca="true" t="shared" si="8" ref="L11:Q11">FLOOR(L12/2,1)</f>
        <v>9</v>
      </c>
      <c r="M11" s="1">
        <f t="shared" si="8"/>
        <v>9</v>
      </c>
      <c r="N11" s="1">
        <f t="shared" si="8"/>
        <v>9</v>
      </c>
      <c r="O11" s="1">
        <f t="shared" si="8"/>
        <v>9</v>
      </c>
      <c r="P11" s="1">
        <f t="shared" si="8"/>
        <v>9</v>
      </c>
      <c r="Q11" s="1">
        <f t="shared" si="8"/>
        <v>9</v>
      </c>
      <c r="R11" s="1"/>
      <c r="S11" s="1"/>
      <c r="T11" s="1"/>
      <c r="U11" s="1"/>
      <c r="V11" s="1"/>
      <c r="W11" s="1"/>
    </row>
    <row r="12" spans="1:23" ht="12.75" customHeight="1">
      <c r="A12" s="1" t="s">
        <v>20</v>
      </c>
      <c r="B12" s="2">
        <v>46</v>
      </c>
      <c r="C12" s="2">
        <v>1</v>
      </c>
      <c r="D12" s="3">
        <f>HLOOKUP(MATCH($D$2,Food!$B$1:$Z$1),Food!$B$2:$Z$37,12,TRUE)</f>
        <v>0</v>
      </c>
      <c r="E12" s="3">
        <f>Buffs!I6</f>
        <v>0</v>
      </c>
      <c r="F12" s="2"/>
      <c r="G12" s="3">
        <f t="shared" si="7"/>
        <v>47</v>
      </c>
      <c r="H12" s="9">
        <f>VLOOKUP($A12,WS!$A:$AY,HLOOKUP($H$2,WS!$1:$2,2,FALSE)+1,FALSE)</f>
        <v>0</v>
      </c>
      <c r="I12" s="3">
        <f t="shared" si="5"/>
        <v>0</v>
      </c>
      <c r="J12" s="1"/>
      <c r="K12" s="1" t="s">
        <v>21</v>
      </c>
      <c r="L12" s="1">
        <f>FLOOR(VLOOKUP(L10,'Reference Tables'!$A$3:$B$10,2,TRUE),1)</f>
        <v>18</v>
      </c>
      <c r="M12" s="1">
        <f>FLOOR(VLOOKUP(M10,'Reference Tables'!$A$3:$B$10,2,TRUE),1)</f>
        <v>18</v>
      </c>
      <c r="N12" s="1">
        <f>FLOOR(VLOOKUP(N10,'Reference Tables'!$A$3:$B$10,2,TRUE),1)</f>
        <v>18</v>
      </c>
      <c r="O12" s="1">
        <f>FLOOR(VLOOKUP(O10,'Reference Tables'!$A$3:$B$10,2,TRUE),1)</f>
        <v>18</v>
      </c>
      <c r="P12" s="1">
        <f>FLOOR(VLOOKUP(P10,'Reference Tables'!$A$3:$B$10,2,TRUE),1)</f>
        <v>18</v>
      </c>
      <c r="Q12" s="1">
        <f>FLOOR(VLOOKUP(Q10,'Reference Tables'!$A$3:$B$10,2,TRUE),1)</f>
        <v>18</v>
      </c>
      <c r="R12" s="1"/>
      <c r="S12" s="1"/>
      <c r="T12" s="1"/>
      <c r="U12" s="1"/>
      <c r="V12" s="1"/>
      <c r="W12" s="1"/>
    </row>
    <row r="13" spans="1:23" ht="12.75" customHeight="1">
      <c r="A13" s="1" t="s">
        <v>22</v>
      </c>
      <c r="B13" s="2">
        <v>68</v>
      </c>
      <c r="C13" s="2">
        <v>1</v>
      </c>
      <c r="D13" s="3">
        <f>HLOOKUP(MATCH($D$2,Food!$B$1:$Z$1),Food!$B$2:$Z$37,13,TRUE)</f>
        <v>0</v>
      </c>
      <c r="E13" s="3">
        <f>Buffs!I7</f>
        <v>0</v>
      </c>
      <c r="F13" s="2"/>
      <c r="G13" s="3">
        <f t="shared" si="7"/>
        <v>69</v>
      </c>
      <c r="H13" s="9">
        <f>VLOOKUP($A13,WS!$A:$AY,HLOOKUP($H$2,WS!$1:$2,2,FALSE)+1,FALSE)</f>
        <v>0</v>
      </c>
      <c r="I13" s="3">
        <f t="shared" si="5"/>
        <v>0</v>
      </c>
      <c r="J13" s="1"/>
      <c r="K13" s="1" t="s">
        <v>23</v>
      </c>
      <c r="L13" s="1">
        <f>FLOOR(($G$16/$F$18),0.01)</f>
        <v>1.18</v>
      </c>
      <c r="M13" s="1">
        <f>FLOOR(($G$26/$F$18),0.01)</f>
        <v>1.18</v>
      </c>
      <c r="N13" s="1">
        <f>FLOOR(($G$40/$F$18),0.01)</f>
        <v>1.18</v>
      </c>
      <c r="O13" s="1">
        <f>FLOOR(($G$41/$F$18),0.01)</f>
        <v>1.18</v>
      </c>
      <c r="P13" s="1">
        <f>FLOOR(($G$42/$F$18),0.01)</f>
        <v>1.18</v>
      </c>
      <c r="Q13" s="1">
        <f>FLOOR(($G$43/$F$18),0.01)</f>
        <v>1.18</v>
      </c>
      <c r="R13" s="1"/>
      <c r="S13" s="1"/>
      <c r="T13" s="1"/>
      <c r="U13" s="1"/>
      <c r="V13" s="1"/>
      <c r="W13" s="1"/>
    </row>
    <row r="14" spans="1:23" ht="12.75" customHeight="1">
      <c r="A14" s="1" t="s">
        <v>24</v>
      </c>
      <c r="B14" s="2">
        <v>68</v>
      </c>
      <c r="C14" s="2">
        <v>1</v>
      </c>
      <c r="D14" s="3">
        <f>HLOOKUP(MATCH($D$2,Food!$B$1:$Z$1),Food!$B$2:$Z$37,14,TRUE)</f>
        <v>0</v>
      </c>
      <c r="E14" s="3">
        <f>Buffs!I8</f>
        <v>0</v>
      </c>
      <c r="F14" s="2"/>
      <c r="G14" s="3">
        <f t="shared" si="7"/>
        <v>69</v>
      </c>
      <c r="H14" s="9">
        <f>VLOOKUP($A14,WS!$A:$AY,HLOOKUP($H$2,WS!$1:$2,2,FALSE)+1,FALSE)</f>
        <v>0</v>
      </c>
      <c r="I14" s="3">
        <f t="shared" si="5"/>
        <v>0</v>
      </c>
      <c r="J14" s="1"/>
      <c r="K14" s="1" t="s">
        <v>25</v>
      </c>
      <c r="L14" s="1">
        <f aca="true" t="shared" si="9" ref="L14:Q14">IF(((L13-(0.05*($F$4-$B$4)))&gt;2),2,IF(((L13-(0.05*($F$4-$B$4)))&lt;0),0,(L13-(0.05*($F$4-$B$4)))))</f>
        <v>0.8299999999999998</v>
      </c>
      <c r="M14" s="1">
        <f t="shared" si="9"/>
        <v>0.8299999999999998</v>
      </c>
      <c r="N14" s="1">
        <f t="shared" si="9"/>
        <v>0.8299999999999998</v>
      </c>
      <c r="O14" s="1">
        <f t="shared" si="9"/>
        <v>0.8299999999999998</v>
      </c>
      <c r="P14" s="1">
        <f t="shared" si="9"/>
        <v>0.8299999999999998</v>
      </c>
      <c r="Q14" s="1">
        <f t="shared" si="9"/>
        <v>0.8299999999999998</v>
      </c>
      <c r="R14" s="1"/>
      <c r="S14" s="1"/>
      <c r="T14" s="1"/>
      <c r="U14" s="1"/>
      <c r="V14" s="1"/>
      <c r="W14" s="1"/>
    </row>
    <row r="15" spans="1:23" ht="12.75" customHeight="1">
      <c r="A15" s="1" t="s">
        <v>26</v>
      </c>
      <c r="B15" s="2">
        <v>286</v>
      </c>
      <c r="C15" s="2"/>
      <c r="D15" s="3"/>
      <c r="E15" s="3"/>
      <c r="F15" s="1" t="s">
        <v>27</v>
      </c>
      <c r="G15" s="3">
        <f>IF((B15&gt;200),(FLOOR((0.9*(B15-200)),1)+200),B15)</f>
        <v>277</v>
      </c>
      <c r="H15" s="1" t="s">
        <v>28</v>
      </c>
      <c r="I15" s="3">
        <f>SUM(I8:I14)</f>
        <v>49</v>
      </c>
      <c r="J15" s="1"/>
      <c r="K15" s="1" t="s">
        <v>29</v>
      </c>
      <c r="L15" s="1">
        <f>IF((VLOOKUP(L$14,'Reference Tables'!$A$15:$G$17,2,TRUE)&lt;0),0,VLOOKUP(L$14,'Reference Tables'!$A$15:$G$17,2,TRUE))</f>
        <v>0.4959999999999998</v>
      </c>
      <c r="M15" s="1">
        <f>IF((VLOOKUP(M$14,'Reference Tables'!$A$15:$G$17,3,TRUE)&lt;0),0,VLOOKUP(M$14,'Reference Tables'!$A$15:$G$17,3,TRUE))</f>
        <v>0.4959999999999998</v>
      </c>
      <c r="N15" s="1">
        <f>IF((VLOOKUP(N$14,'Reference Tables'!$A$15:$G$17,4,TRUE)&lt;0),0,VLOOKUP(N$14,'Reference Tables'!$A$15:$G$17,4,TRUE))</f>
        <v>0.4959999999999998</v>
      </c>
      <c r="O15" s="1">
        <f>IF((VLOOKUP(O$14,'Reference Tables'!$A$15:$G$17,5,TRUE)&lt;0),0,VLOOKUP(O$14,'Reference Tables'!$A$15:$G$17,5,TRUE))</f>
        <v>0.4959999999999998</v>
      </c>
      <c r="P15" s="1">
        <f>IF((VLOOKUP(P$14,'Reference Tables'!$A$15:$G$17,6,TRUE)&lt;0),0,VLOOKUP(P$14,'Reference Tables'!$A$15:$G$17,6,TRUE))</f>
        <v>0.4959999999999998</v>
      </c>
      <c r="Q15" s="1">
        <f>IF((VLOOKUP(Q$14,'Reference Tables'!$A$15:$G$17,7,TRUE)&lt;0),0,VLOOKUP(Q$14,'Reference Tables'!$A$15:$G$17,7,TRUE))</f>
        <v>0.4959999999999998</v>
      </c>
      <c r="R15" s="1"/>
      <c r="S15" s="1"/>
      <c r="T15" s="1"/>
      <c r="U15" s="1"/>
      <c r="V15" s="1"/>
      <c r="W15" s="1"/>
    </row>
    <row r="16" spans="1:23" ht="12.75" customHeight="1">
      <c r="A16" s="1" t="s">
        <v>30</v>
      </c>
      <c r="B16" s="3">
        <f>Jobs!$E$22</f>
        <v>10</v>
      </c>
      <c r="C16" s="2">
        <v>10</v>
      </c>
      <c r="D16" s="3">
        <f>HLOOKUP(MATCH($D$2,Food!$B$1:$Z$1),Food!$B$2:$Z$37,16,TRUE)</f>
        <v>0</v>
      </c>
      <c r="E16" s="3">
        <f>Buffs!I9</f>
        <v>0</v>
      </c>
      <c r="F16" s="1"/>
      <c r="G16" s="3">
        <f>$E$36+$D$16</f>
        <v>388</v>
      </c>
      <c r="H16" s="1" t="s">
        <v>31</v>
      </c>
      <c r="I16" s="27">
        <f>VLOOKUP($H16,WS!$A:$AY,HLOOKUP($H$2,WS!$1:$2,2,FALSE)+1,FALSE)</f>
        <v>4</v>
      </c>
      <c r="J16" s="1"/>
      <c r="K16" s="1" t="s">
        <v>32</v>
      </c>
      <c r="L16" s="1">
        <f>VLOOKUP(L$14,'Reference Tables'!$A$19:$G$21,2,TRUE)</f>
        <v>1</v>
      </c>
      <c r="M16" s="1">
        <f>VLOOKUP(M$14,'Reference Tables'!$A$19:$G$21,3,TRUE)</f>
        <v>1</v>
      </c>
      <c r="N16" s="1">
        <f>VLOOKUP(N$14,'Reference Tables'!$A$19:$G$21,4,TRUE)</f>
        <v>1</v>
      </c>
      <c r="O16" s="1">
        <f>VLOOKUP(O$14,'Reference Tables'!$A$19:$G$21,5,TRUE)</f>
        <v>1</v>
      </c>
      <c r="P16" s="1">
        <f>VLOOKUP(P$14,'Reference Tables'!$A$19:$G$21,6,TRUE)</f>
        <v>1</v>
      </c>
      <c r="Q16" s="1">
        <f>VLOOKUP(Q$14,'Reference Tables'!$A$19:$G$21,7,TRUE)</f>
        <v>1</v>
      </c>
      <c r="R16" s="1"/>
      <c r="S16" s="1"/>
      <c r="T16" s="1"/>
      <c r="U16" s="1"/>
      <c r="V16" s="1"/>
      <c r="W16" s="1"/>
    </row>
    <row r="17" spans="1:23" ht="12.75" customHeight="1">
      <c r="A17" s="1" t="s">
        <v>33</v>
      </c>
      <c r="B17" s="3">
        <f>Jobs!$D$22</f>
        <v>22</v>
      </c>
      <c r="C17" s="2">
        <v>10</v>
      </c>
      <c r="D17" s="3">
        <f>HLOOKUP(MATCH($D$2,Food!$B$1:$Z$1),Food!$B$2:$Z$37,17,TRUE)</f>
        <v>56</v>
      </c>
      <c r="E17" s="3">
        <f>Buffs!I11</f>
        <v>0</v>
      </c>
      <c r="F17" s="1"/>
      <c r="G17" s="3">
        <f>$G$25+$B$17+$C$17+$D$44+$D$17+$E$17+$G$15+$C$35</f>
        <v>431</v>
      </c>
      <c r="H17" s="1" t="s">
        <v>34</v>
      </c>
      <c r="I17" s="9">
        <f>VLOOKUP($H17,WS!$A:$AY,HLOOKUP($H$2,WS!$1:$2,2,FALSE)+1,FALSE)</f>
        <v>0.01</v>
      </c>
      <c r="J17" s="1"/>
      <c r="K17" s="1" t="s">
        <v>36</v>
      </c>
      <c r="L17" s="1">
        <f>IF(((VLOOKUP(L$14,'Reference Tables'!$A$15:$G$17,2,TRUE)+$C$31)&lt;0),0,(VLOOKUP(L$14,'Reference Tables'!$A$15:$G$17,2,TRUE)+$C$31))</f>
        <v>1.4959999999999998</v>
      </c>
      <c r="M17" s="1">
        <f>IF(((VLOOKUP(M$14,'Reference Tables'!$A$15:$G$17,3,TRUE)+$C$31)&lt;0),0,(VLOOKUP(M$14,'Reference Tables'!$A$15:$G$17,3,TRUE)+$C$31))</f>
        <v>1.4959999999999998</v>
      </c>
      <c r="N17" s="1">
        <f>IF(((VLOOKUP(N$14,'Reference Tables'!$A$15:$G$17,4,TRUE)+$C$31)&lt;0),0,(VLOOKUP(N$14,'Reference Tables'!$A$15:$G$17,4,TRUE)+$C$31))</f>
        <v>1.4959999999999998</v>
      </c>
      <c r="O17" s="1">
        <f>IF(((VLOOKUP(O$14,'Reference Tables'!$A$15:$G$17,5,TRUE)+$C$31)&lt;0),0,(VLOOKUP(O$14,'Reference Tables'!$A$15:$G$17,5,TRUE)+$C$31))</f>
        <v>1.4959999999999998</v>
      </c>
      <c r="P17" s="1">
        <f>IF(((VLOOKUP(P$14,'Reference Tables'!$A$15:$G$17,6,TRUE)+$C$31)&lt;0),0,(VLOOKUP(P$14,'Reference Tables'!$A$15:$G$17,6,TRUE)+$C$31))</f>
        <v>1.4959999999999998</v>
      </c>
      <c r="Q17" s="1">
        <f>IF(((VLOOKUP(Q$14,'Reference Tables'!$A$15:$G$17,7,TRUE)+$C$31)&lt;0),0,(VLOOKUP(Q$14,'Reference Tables'!$A$15:$G$17,7,TRUE)+$C$31))</f>
        <v>1.4959999999999998</v>
      </c>
      <c r="R17" s="1"/>
      <c r="S17" s="1"/>
      <c r="T17" s="1"/>
      <c r="U17" s="1"/>
      <c r="V17" s="1"/>
      <c r="W17" s="1"/>
    </row>
    <row r="18" spans="1:23" ht="12.75" customHeight="1">
      <c r="A18" s="1" t="s">
        <v>37</v>
      </c>
      <c r="B18" s="3"/>
      <c r="C18" s="2">
        <v>200</v>
      </c>
      <c r="D18" s="3">
        <f>HLOOKUP(MATCH($D$2,Food!$B$1:$Z$1),Food!$B$2:$Z$37,18,TRUE)</f>
        <v>0</v>
      </c>
      <c r="E18" s="3"/>
      <c r="F18" s="3">
        <f>HLOOKUP(MATCH($F$2,Enemies!$B$1:$Z$1),Enemies!$B$2:$Z$37,14,TRUE)</f>
        <v>327</v>
      </c>
      <c r="G18" s="3"/>
      <c r="H18" s="1" t="s">
        <v>293</v>
      </c>
      <c r="I18" s="3">
        <f>IF(($B$34="YES"),VLOOKUP($B$33,WS!A13:W15,HLOOKUP($H$2,WS!$1:$2,2,FALSE)+1,TRUE)+0.1,VLOOKUP($B$33,WS!A13:AA15,HLOOKUP($H$2,WS!$1:$2,2,FALSE)+1,TRUE))</f>
        <v>1</v>
      </c>
      <c r="J18" s="1"/>
      <c r="K18" s="1" t="s">
        <v>38</v>
      </c>
      <c r="L18" s="1">
        <f aca="true" t="shared" si="10" ref="L18:Q18">IF(((L$16+$C$31)&gt;3),3,(L$16+$C$31))</f>
        <v>2</v>
      </c>
      <c r="M18" s="1">
        <f t="shared" si="10"/>
        <v>2</v>
      </c>
      <c r="N18" s="1">
        <f t="shared" si="10"/>
        <v>2</v>
      </c>
      <c r="O18" s="1">
        <f t="shared" si="10"/>
        <v>2</v>
      </c>
      <c r="P18" s="1">
        <f t="shared" si="10"/>
        <v>2</v>
      </c>
      <c r="Q18" s="1">
        <f t="shared" si="10"/>
        <v>2</v>
      </c>
      <c r="R18" s="1"/>
      <c r="S18" s="1"/>
      <c r="T18" s="1"/>
      <c r="U18" s="1"/>
      <c r="V18" s="1"/>
      <c r="W18" s="1"/>
    </row>
    <row r="19" spans="1:23" ht="12.75" customHeight="1">
      <c r="A19" s="1" t="s">
        <v>39</v>
      </c>
      <c r="B19" s="3"/>
      <c r="C19" s="2"/>
      <c r="D19" s="3">
        <f>HLOOKUP(MATCH($D$2,Food!$B$1:$Z$1),Food!$B$2:$Z$37,19,TRUE)</f>
        <v>0</v>
      </c>
      <c r="E19" s="3"/>
      <c r="F19" s="3">
        <f>HLOOKUP(MATCH($F$2,Enemies!$B$1:$Z$1),Enemies!$B$2:$Z$37,15,TRUE)</f>
        <v>339</v>
      </c>
      <c r="G19" s="3"/>
      <c r="H19" s="1" t="s">
        <v>408</v>
      </c>
      <c r="I19" s="3">
        <f>IF(($B$34="YES"),VLOOKUP($B$33+1,WS!A14:W16,HLOOKUP($H$2,WS!$1:$2,2,FALSE)+1,TRUE)+0.1,VLOOKUP($B$33+1,WS!A14:AA16,HLOOKUP($H$2,WS!$1:$2,2,FALSE)+1,TRUE))</f>
        <v>1</v>
      </c>
      <c r="J19" s="1"/>
      <c r="K19" s="1" t="s">
        <v>40</v>
      </c>
      <c r="L19" s="8">
        <f>L$8*L$15</f>
        <v>51.08799999999998</v>
      </c>
      <c r="M19" s="8">
        <f aca="true" t="shared" si="11" ref="M19:Q20">M$8*M15</f>
        <v>51.08799999999998</v>
      </c>
      <c r="N19" s="8">
        <f t="shared" si="11"/>
        <v>51.08799999999998</v>
      </c>
      <c r="O19" s="8">
        <f t="shared" si="11"/>
        <v>51.08799999999998</v>
      </c>
      <c r="P19" s="8">
        <f>P$8*P15</f>
        <v>51.08799999999998</v>
      </c>
      <c r="Q19" s="8">
        <f t="shared" si="11"/>
        <v>51.08799999999998</v>
      </c>
      <c r="R19" s="1"/>
      <c r="S19" s="1"/>
      <c r="T19" s="1"/>
      <c r="U19" s="1"/>
      <c r="V19" s="1"/>
      <c r="W19" s="1"/>
    </row>
    <row r="20" spans="1:23" ht="12.75" customHeight="1">
      <c r="A20" s="1" t="s">
        <v>41</v>
      </c>
      <c r="B20" s="3">
        <f>IF($B$30="H2H",FLOOR($B$15*0.11,1)+3,0)</f>
        <v>0</v>
      </c>
      <c r="C20" s="2">
        <v>94</v>
      </c>
      <c r="D20" s="3"/>
      <c r="E20" s="3"/>
      <c r="F20" s="1"/>
      <c r="G20" s="3">
        <f>B20+C20</f>
        <v>94</v>
      </c>
      <c r="H20" s="12" t="s">
        <v>409</v>
      </c>
      <c r="I20" s="43">
        <f>VLOOKUP($H20,WS!$A:$AY,HLOOKUP($H$2,WS!$1:$2,2,FALSE)+1,FALSE)</f>
        <v>1</v>
      </c>
      <c r="J20" s="1"/>
      <c r="K20" s="1" t="s">
        <v>42</v>
      </c>
      <c r="L20" s="8">
        <f>L$8*L$16</f>
        <v>103</v>
      </c>
      <c r="M20" s="8">
        <f t="shared" si="11"/>
        <v>103</v>
      </c>
      <c r="N20" s="8">
        <f t="shared" si="11"/>
        <v>103</v>
      </c>
      <c r="O20" s="8">
        <f t="shared" si="11"/>
        <v>103</v>
      </c>
      <c r="P20" s="8">
        <f>P$8*P16</f>
        <v>103</v>
      </c>
      <c r="Q20" s="8">
        <f t="shared" si="11"/>
        <v>103</v>
      </c>
      <c r="R20" s="1"/>
      <c r="S20" s="1"/>
      <c r="T20" s="1"/>
      <c r="U20" s="1"/>
      <c r="V20" s="1"/>
      <c r="W20" s="1"/>
    </row>
    <row r="21" spans="1:23" ht="12.75" customHeight="1">
      <c r="A21" s="1" t="s">
        <v>43</v>
      </c>
      <c r="B21" s="3">
        <f>IF($B$30="H2H",IF(Jobs!$H$22=0,480,Jobs!$H$22),0)</f>
        <v>0</v>
      </c>
      <c r="C21" s="2">
        <v>492</v>
      </c>
      <c r="D21" s="3"/>
      <c r="E21" s="3"/>
      <c r="F21" s="1"/>
      <c r="G21" s="3">
        <f>IF($B$30="DW",CEILING(($C$21+$C$23+$B$21)*(1-($B$38+$C$38)),1)/2,CEILING(($C$21+$C$23+$B$21)*(1-($B$38+$C$38)),1))</f>
        <v>468</v>
      </c>
      <c r="H21" s="1" t="s">
        <v>410</v>
      </c>
      <c r="I21" s="28">
        <f>$I$17*$B$33+$G$32</f>
        <v>0.10071999999999999</v>
      </c>
      <c r="J21" s="1"/>
      <c r="K21" s="1" t="s">
        <v>44</v>
      </c>
      <c r="L21" s="8">
        <f aca="true" t="shared" si="12" ref="L21:Q21">AVERAGE(L19:L20)</f>
        <v>77.04399999999998</v>
      </c>
      <c r="M21" s="8">
        <f t="shared" si="12"/>
        <v>77.04399999999998</v>
      </c>
      <c r="N21" s="8">
        <f t="shared" si="12"/>
        <v>77.04399999999998</v>
      </c>
      <c r="O21" s="8">
        <f t="shared" si="12"/>
        <v>77.04399999999998</v>
      </c>
      <c r="P21" s="8">
        <f t="shared" si="12"/>
        <v>77.04399999999998</v>
      </c>
      <c r="Q21" s="8">
        <f t="shared" si="12"/>
        <v>77.04399999999998</v>
      </c>
      <c r="R21" s="1"/>
      <c r="S21" s="1"/>
      <c r="T21" s="1"/>
      <c r="U21" s="1"/>
      <c r="V21" s="1"/>
      <c r="W21" s="1"/>
    </row>
    <row r="22" spans="1:23" ht="12.75" customHeight="1">
      <c r="A22" s="1" t="s">
        <v>45</v>
      </c>
      <c r="B22" s="3"/>
      <c r="C22" s="2"/>
      <c r="D22" s="3"/>
      <c r="E22" s="3"/>
      <c r="F22" s="1"/>
      <c r="G22" s="3"/>
      <c r="H22" s="1"/>
      <c r="I22" s="1"/>
      <c r="J22" s="1"/>
      <c r="K22" s="1" t="s">
        <v>46</v>
      </c>
      <c r="L22" s="8">
        <f>L$8*L$17</f>
        <v>154.08799999999997</v>
      </c>
      <c r="M22" s="8">
        <f>M$8*M17</f>
        <v>154.08799999999997</v>
      </c>
      <c r="N22" s="8">
        <f>N$8*N17</f>
        <v>154.08799999999997</v>
      </c>
      <c r="O22" s="8">
        <f>O$8*O17</f>
        <v>154.08799999999997</v>
      </c>
      <c r="P22" s="8">
        <f>P$8*P17</f>
        <v>154.08799999999997</v>
      </c>
      <c r="Q22" s="8">
        <f>Q$8*Q17</f>
        <v>154.08799999999997</v>
      </c>
      <c r="R22" s="1"/>
      <c r="S22" s="1"/>
      <c r="T22" s="1"/>
      <c r="U22" s="1"/>
      <c r="V22" s="1"/>
      <c r="W22" s="1"/>
    </row>
    <row r="23" spans="1:23" ht="12.75" customHeight="1">
      <c r="A23" s="1" t="s">
        <v>47</v>
      </c>
      <c r="B23" s="3"/>
      <c r="C23" s="2"/>
      <c r="D23" s="3"/>
      <c r="E23" s="3"/>
      <c r="F23" s="1"/>
      <c r="G23" s="3"/>
      <c r="H23" s="1"/>
      <c r="I23" s="1"/>
      <c r="J23" s="1"/>
      <c r="K23" s="1" t="s">
        <v>48</v>
      </c>
      <c r="L23" s="8">
        <f>L$8*L$18</f>
        <v>206</v>
      </c>
      <c r="M23" s="8">
        <f>M8*M18</f>
        <v>206</v>
      </c>
      <c r="N23" s="8">
        <f>N8*N18</f>
        <v>206</v>
      </c>
      <c r="O23" s="8">
        <f>O8*O18</f>
        <v>206</v>
      </c>
      <c r="P23" s="8">
        <f>P8*P18</f>
        <v>206</v>
      </c>
      <c r="Q23" s="8">
        <f>Q8*Q18</f>
        <v>206</v>
      </c>
      <c r="R23" s="1"/>
      <c r="S23" s="1"/>
      <c r="T23" s="1"/>
      <c r="U23" s="1"/>
      <c r="V23" s="1"/>
      <c r="W23" s="1"/>
    </row>
    <row r="24" spans="1:23" ht="12.75" customHeight="1">
      <c r="A24" s="1" t="s">
        <v>57</v>
      </c>
      <c r="B24" s="9">
        <f>Jobs!G22</f>
        <v>0.15</v>
      </c>
      <c r="C24" s="7">
        <v>0.05</v>
      </c>
      <c r="D24" s="3">
        <f>HLOOKUP(MATCH($D$2,Food!$B$1:$Z$1),Food!$B$2:$Z$37,20,TRUE)</f>
        <v>0</v>
      </c>
      <c r="E24" s="9">
        <f>Buffs!I13</f>
        <v>0</v>
      </c>
      <c r="F24" s="6"/>
      <c r="G24" s="9">
        <f>B24+C24</f>
        <v>0.2</v>
      </c>
      <c r="H24" s="1"/>
      <c r="I24" s="1"/>
      <c r="J24" s="1"/>
      <c r="K24" s="1" t="s">
        <v>49</v>
      </c>
      <c r="L24" s="1">
        <f>FLOOR(($I$15*L$25),1)</f>
        <v>40</v>
      </c>
      <c r="M24" s="1">
        <f>FLOOR(($I$15*M25),1)</f>
        <v>40</v>
      </c>
      <c r="N24" s="1">
        <f>FLOOR(($I$15*N25),1)</f>
        <v>40</v>
      </c>
      <c r="O24" s="1">
        <f>FLOOR(($I$15*O25),1)</f>
        <v>40</v>
      </c>
      <c r="P24" s="1">
        <f>FLOOR(($I$15*P25),1)</f>
        <v>40</v>
      </c>
      <c r="Q24" s="1">
        <f>FLOOR(($I$15*Q25),1)</f>
        <v>40</v>
      </c>
      <c r="R24" s="1"/>
      <c r="S24" s="1"/>
      <c r="T24" s="1"/>
      <c r="U24" s="1"/>
      <c r="V24" s="1"/>
      <c r="W24" s="1"/>
    </row>
    <row r="25" spans="1:23" ht="12.75" customHeight="1">
      <c r="A25" s="1" t="s">
        <v>50</v>
      </c>
      <c r="B25" s="3">
        <f>IF($B$2="SAM",IF($B$30="2HANDED",VLOOKUP($B$4,JA!B40:G48,6,TRUE),0),IF($B$3="SAM",IF($B$30="2HANDED",VLOOKUP($B$5,JA!B40:G48,6,TRUE),0),0))</f>
        <v>5</v>
      </c>
      <c r="C25" s="1"/>
      <c r="D25" s="3"/>
      <c r="E25" s="3"/>
      <c r="F25" s="1" t="s">
        <v>27</v>
      </c>
      <c r="G25" s="3">
        <f>IF((B25&gt;0),10,0)</f>
        <v>10</v>
      </c>
      <c r="H25" s="1"/>
      <c r="I25" s="1"/>
      <c r="J25" s="1"/>
      <c r="K25" s="1" t="s">
        <v>51</v>
      </c>
      <c r="L25" s="1">
        <f>VLOOKUP($B$4,'Reference Tables'!$A$31:$B$48,2,TRUE)</f>
        <v>0.8299999999999998</v>
      </c>
      <c r="M25" s="1">
        <f>VLOOKUP($B$4,'Reference Tables'!$A$31:$B$48,2,TRUE)</f>
        <v>0.8299999999999998</v>
      </c>
      <c r="N25" s="1">
        <f>VLOOKUP($B$4,'Reference Tables'!$A$31:$B$48,2,TRUE)</f>
        <v>0.8299999999999998</v>
      </c>
      <c r="O25" s="1">
        <f>VLOOKUP($B$4,'Reference Tables'!$A$31:$B$48,2,TRUE)</f>
        <v>0.8299999999999998</v>
      </c>
      <c r="P25" s="1">
        <f>VLOOKUP($B$4,'Reference Tables'!$A$31:$B$48,2,TRUE)</f>
        <v>0.8299999999999998</v>
      </c>
      <c r="Q25" s="1">
        <f>VLOOKUP($B$4,'Reference Tables'!$A$31:$B$48,2,TRUE)</f>
        <v>0.8299999999999998</v>
      </c>
      <c r="R25" s="1"/>
      <c r="S25" s="1"/>
      <c r="T25" s="1"/>
      <c r="U25" s="1"/>
      <c r="V25" s="1"/>
      <c r="W25" s="1"/>
    </row>
    <row r="26" spans="1:23" ht="12.75" customHeight="1">
      <c r="A26" s="1" t="s">
        <v>52</v>
      </c>
      <c r="B26" s="9">
        <f>IF($B$2="WAR",VLOOKUP($B$4,JA!B61:G63,4,TRUE),IF($B$3="WAR",VLOOKUP($B$5,JA!B61:G63,4,TRUE),0))</f>
        <v>0</v>
      </c>
      <c r="C26" s="3">
        <f>FLOOR($E$36*(1+B26),1)</f>
        <v>388</v>
      </c>
      <c r="D26" s="3">
        <f>HLOOKUP(MATCH($D$2,Food!$B$1:$Z$1),Food!$B$2:$Z$37,25,TRUE)</f>
        <v>0</v>
      </c>
      <c r="E26" s="3"/>
      <c r="F26" s="1"/>
      <c r="G26" s="3">
        <f>SUM(C26:D26)</f>
        <v>388</v>
      </c>
      <c r="H26" s="1"/>
      <c r="I26" s="1"/>
      <c r="J26" s="1"/>
      <c r="K26" s="1" t="s">
        <v>54</v>
      </c>
      <c r="L26" s="22">
        <f aca="true" t="shared" si="13" ref="L26:Q26">IF($B$33=3,0,IF($B$33&gt;2,$B$33-2,$B$33-1))</f>
        <v>0.07199999999999984</v>
      </c>
      <c r="M26" s="22">
        <f t="shared" si="13"/>
        <v>0.07199999999999984</v>
      </c>
      <c r="N26" s="22">
        <f t="shared" si="13"/>
        <v>0.07199999999999984</v>
      </c>
      <c r="O26" s="22">
        <f t="shared" si="13"/>
        <v>0.07199999999999984</v>
      </c>
      <c r="P26" s="22">
        <f t="shared" si="13"/>
        <v>0.07199999999999984</v>
      </c>
      <c r="Q26" s="22">
        <f t="shared" si="13"/>
        <v>0.07199999999999984</v>
      </c>
      <c r="R26" s="1"/>
      <c r="S26" s="1"/>
      <c r="T26" s="1"/>
      <c r="U26" s="1"/>
      <c r="V26" s="1"/>
      <c r="W26" s="1"/>
    </row>
    <row r="27" spans="1:23" ht="12.75" customHeight="1">
      <c r="A27" s="1" t="s">
        <v>232</v>
      </c>
      <c r="B27" s="9">
        <f>IF($B$2="WAR",VLOOKUP($B$4,'Job Traits'!A45:C47,3,TRUE),IF($B$3="WAR",VLOOKUP($B$5,'Job Traits'!A45:C47,3,TRUE),0))</f>
        <v>0</v>
      </c>
      <c r="C27" s="7">
        <v>0.02</v>
      </c>
      <c r="D27" s="3">
        <f>HLOOKUP(MATCH($D$2,Food!$B$1:$Z$1),Food!$B$2:$Z$37,21,TRUE)</f>
        <v>0</v>
      </c>
      <c r="E27" s="9">
        <f>Buffs!I12</f>
        <v>0</v>
      </c>
      <c r="F27" s="1"/>
      <c r="G27" s="10">
        <f>SUM(B27:E27)</f>
        <v>0.02</v>
      </c>
      <c r="H27" s="1"/>
      <c r="I27" s="1"/>
      <c r="J27" s="1"/>
      <c r="K27" s="1" t="s">
        <v>56</v>
      </c>
      <c r="L27" s="42">
        <f aca="true" t="shared" si="14" ref="L27:Q27">$I$18+L$26*($I$19-$I$18)</f>
        <v>1</v>
      </c>
      <c r="M27" s="42">
        <f t="shared" si="14"/>
        <v>1</v>
      </c>
      <c r="N27" s="42">
        <f t="shared" si="14"/>
        <v>1</v>
      </c>
      <c r="O27" s="42">
        <f t="shared" si="14"/>
        <v>1</v>
      </c>
      <c r="P27" s="42">
        <f t="shared" si="14"/>
        <v>1</v>
      </c>
      <c r="Q27" s="42">
        <f t="shared" si="14"/>
        <v>1</v>
      </c>
      <c r="R27" s="1"/>
      <c r="S27" s="1"/>
      <c r="T27" s="1"/>
      <c r="U27" s="1"/>
      <c r="V27" s="1"/>
      <c r="W27" s="1"/>
    </row>
    <row r="28" spans="1:23" ht="12.75" customHeight="1">
      <c r="A28" s="1" t="s">
        <v>233</v>
      </c>
      <c r="B28" s="9">
        <f>IF($B$2="THF",VLOOKUP($B$4,'Job Traits'!A40:C42,3,TRUE),IF($B$3="THF",VLOOKUP($B$5,'Job Traits'!A40:C42,3,TRUE),0))</f>
        <v>0</v>
      </c>
      <c r="C28" s="7">
        <v>0.01</v>
      </c>
      <c r="D28" s="3">
        <f>HLOOKUP(MATCH($D$2,Food!$B$1:$Z$1),Food!$B$2:$Z$37,22,TRUE)</f>
        <v>0</v>
      </c>
      <c r="E28" s="3"/>
      <c r="F28" s="6"/>
      <c r="G28" s="10">
        <f>SUM(B28:E28)</f>
        <v>0.01</v>
      </c>
      <c r="H28" s="1"/>
      <c r="I28" s="1"/>
      <c r="J28" s="1"/>
      <c r="K28" s="1" t="s">
        <v>58</v>
      </c>
      <c r="L28" s="5">
        <f aca="true" t="shared" si="15" ref="L28:Q28">(($G$20+L$11+L$24)*L$27)*L$74</f>
        <v>70.92799999999997</v>
      </c>
      <c r="M28" s="5">
        <f t="shared" si="15"/>
        <v>70.92799999999997</v>
      </c>
      <c r="N28" s="5">
        <f t="shared" si="15"/>
        <v>70.92799999999997</v>
      </c>
      <c r="O28" s="5">
        <f t="shared" si="15"/>
        <v>70.92799999999997</v>
      </c>
      <c r="P28" s="5">
        <f t="shared" si="15"/>
        <v>70.92799999999997</v>
      </c>
      <c r="Q28" s="5">
        <f t="shared" si="15"/>
        <v>70.92799999999997</v>
      </c>
      <c r="R28" s="1"/>
      <c r="S28" s="1"/>
      <c r="T28" s="1"/>
      <c r="U28" s="1"/>
      <c r="V28" s="1"/>
      <c r="W28" s="1"/>
    </row>
    <row r="29" spans="1:23" ht="12.75" customHeight="1">
      <c r="A29" s="1" t="s">
        <v>59</v>
      </c>
      <c r="B29" s="9">
        <f>IF((B25&gt;0),0.1,0)</f>
        <v>0.1</v>
      </c>
      <c r="C29" s="7">
        <v>0.05</v>
      </c>
      <c r="D29" s="3">
        <f>HLOOKUP(MATCH($D$2,Food!$B$1:$Z$1),Food!$B$2:$Z$37,23,TRUE)</f>
        <v>0</v>
      </c>
      <c r="E29" s="9">
        <f>Buffs!I14</f>
        <v>0.15</v>
      </c>
      <c r="F29" s="1"/>
      <c r="G29" s="10">
        <f>SUM(B29:E29)</f>
        <v>0.30000000000000004</v>
      </c>
      <c r="H29" s="1"/>
      <c r="I29" s="1"/>
      <c r="J29" s="1"/>
      <c r="K29" s="1" t="s">
        <v>60</v>
      </c>
      <c r="L29" s="5">
        <f aca="true" t="shared" si="16" ref="L29:Q29">(($G$20+L$11+L$24)*L$27)*L$75</f>
        <v>143</v>
      </c>
      <c r="M29" s="5">
        <f t="shared" si="16"/>
        <v>143</v>
      </c>
      <c r="N29" s="5">
        <f t="shared" si="16"/>
        <v>143</v>
      </c>
      <c r="O29" s="5">
        <f t="shared" si="16"/>
        <v>143</v>
      </c>
      <c r="P29" s="5">
        <f t="shared" si="16"/>
        <v>143</v>
      </c>
      <c r="Q29" s="5">
        <f t="shared" si="16"/>
        <v>143</v>
      </c>
      <c r="R29" s="1"/>
      <c r="S29" s="1"/>
      <c r="T29" s="1"/>
      <c r="U29" s="1"/>
      <c r="V29" s="1"/>
      <c r="W29" s="1"/>
    </row>
    <row r="30" spans="1:23" ht="13.5" customHeight="1">
      <c r="A30" s="1" t="s">
        <v>265</v>
      </c>
      <c r="B30" s="2" t="s">
        <v>236</v>
      </c>
      <c r="C30" s="1">
        <f>IF($B$30="H2H",FLOOR(($C$20+3)/9,1),FLOOR((C20/9),1))</f>
        <v>10</v>
      </c>
      <c r="D30" s="3"/>
      <c r="E30" s="3"/>
      <c r="F30" s="1"/>
      <c r="G30" s="3"/>
      <c r="H30" s="1"/>
      <c r="I30" s="1"/>
      <c r="J30" s="5"/>
      <c r="K30" s="1" t="s">
        <v>61</v>
      </c>
      <c r="L30" s="5">
        <f aca="true" t="shared" si="17" ref="L30:Q30">IF($I$17=0,(($G$20+L$11+L$24)*L$74),((($G$20+L$11+L$24)*L$76)*$I$21)+(($G$20+L$11+L$24)*L$74)*(1-$I$21))</f>
        <v>85.33095999999996</v>
      </c>
      <c r="M30" s="5">
        <f t="shared" si="17"/>
        <v>85.33095999999996</v>
      </c>
      <c r="N30" s="5">
        <f t="shared" si="17"/>
        <v>85.33095999999996</v>
      </c>
      <c r="O30" s="5">
        <f t="shared" si="17"/>
        <v>85.33095999999996</v>
      </c>
      <c r="P30" s="5">
        <f t="shared" si="17"/>
        <v>85.33095999999996</v>
      </c>
      <c r="Q30" s="5">
        <f t="shared" si="17"/>
        <v>85.33095999999996</v>
      </c>
      <c r="R30" s="1"/>
      <c r="S30" s="1"/>
      <c r="T30" s="1"/>
      <c r="U30" s="1"/>
      <c r="V30" s="1"/>
      <c r="W30" s="1"/>
    </row>
    <row r="31" spans="1:23" ht="12.75" customHeight="1">
      <c r="A31" s="1" t="s">
        <v>62</v>
      </c>
      <c r="B31" s="1"/>
      <c r="C31" s="1">
        <v>1</v>
      </c>
      <c r="D31" s="3"/>
      <c r="E31" s="3"/>
      <c r="F31" s="1"/>
      <c r="G31" s="3"/>
      <c r="H31" s="1"/>
      <c r="I31" s="1"/>
      <c r="J31" s="1"/>
      <c r="K31" s="1" t="s">
        <v>63</v>
      </c>
      <c r="L31" s="5">
        <f aca="true" t="shared" si="18" ref="L31:Q31">IF($I$17=0,(($G$20+L$11+L$24)*L$75),((($G$20+L$11+L$24)*L$77)*$I$21)+(($G$20+L$11+L$24)*L$75)*(1-$I$21))</f>
        <v>157.40295999999998</v>
      </c>
      <c r="M31" s="5">
        <f t="shared" si="18"/>
        <v>157.40295999999998</v>
      </c>
      <c r="N31" s="5">
        <f t="shared" si="18"/>
        <v>157.40295999999998</v>
      </c>
      <c r="O31" s="5">
        <f t="shared" si="18"/>
        <v>157.40295999999998</v>
      </c>
      <c r="P31" s="5">
        <f t="shared" si="18"/>
        <v>157.40295999999998</v>
      </c>
      <c r="Q31" s="5">
        <f t="shared" si="18"/>
        <v>157.40295999999998</v>
      </c>
      <c r="R31" s="1"/>
      <c r="S31" s="1"/>
      <c r="T31" s="1"/>
      <c r="U31" s="1"/>
      <c r="V31" s="1"/>
      <c r="W31" s="1"/>
    </row>
    <row r="32" spans="1:23" ht="12.75" customHeight="1">
      <c r="A32" s="1" t="s">
        <v>64</v>
      </c>
      <c r="B32" s="9">
        <f>VLOOKUP($G$9-$F$11,'Reference Tables'!A63:B78,2,TRUE)</f>
        <v>0.05</v>
      </c>
      <c r="C32" s="7">
        <v>0.04</v>
      </c>
      <c r="D32" s="3">
        <f>HLOOKUP(MATCH($D$2,Food!$B$1:$Z$1),Food!$B$2:$Z$37,24,TRUE)</f>
        <v>0</v>
      </c>
      <c r="E32" s="9">
        <f>Buffs!F14</f>
        <v>0</v>
      </c>
      <c r="F32" s="1"/>
      <c r="G32" s="10">
        <f>SUM(B32:E32)</f>
        <v>0.09</v>
      </c>
      <c r="H32" s="1"/>
      <c r="I32" s="1"/>
      <c r="J32" s="1"/>
      <c r="K32" s="1" t="s">
        <v>65</v>
      </c>
      <c r="L32" s="5">
        <f aca="true" t="shared" si="19" ref="L32:Q32">((($G$20+L$11)+L$24)*L$27)*L$76</f>
        <v>213.92799999999997</v>
      </c>
      <c r="M32" s="5">
        <f t="shared" si="19"/>
        <v>213.92799999999997</v>
      </c>
      <c r="N32" s="5">
        <f t="shared" si="19"/>
        <v>213.92799999999997</v>
      </c>
      <c r="O32" s="5">
        <f t="shared" si="19"/>
        <v>213.92799999999997</v>
      </c>
      <c r="P32" s="5">
        <f t="shared" si="19"/>
        <v>213.92799999999997</v>
      </c>
      <c r="Q32" s="5">
        <f t="shared" si="19"/>
        <v>213.92799999999997</v>
      </c>
      <c r="R32" s="1"/>
      <c r="S32" s="1"/>
      <c r="T32" s="1"/>
      <c r="U32" s="1"/>
      <c r="V32" s="1"/>
      <c r="W32" s="1"/>
    </row>
    <row r="33" spans="1:23" ht="12.75" customHeight="1">
      <c r="A33" s="1" t="s">
        <v>66</v>
      </c>
      <c r="B33" s="9">
        <f>IF(($F$52*($H$52-1))+$I$48+$I$44&gt;3,3,($F$52*($H$52-1))+$I$48+$I$44)</f>
        <v>1.0719999999999998</v>
      </c>
      <c r="C33" s="6"/>
      <c r="D33" s="1"/>
      <c r="E33" s="1"/>
      <c r="F33" s="1"/>
      <c r="G33" s="3"/>
      <c r="H33" s="1"/>
      <c r="I33" s="1"/>
      <c r="J33" s="1"/>
      <c r="K33" s="1" t="s">
        <v>67</v>
      </c>
      <c r="L33" s="5">
        <f aca="true" t="shared" si="20" ref="L33:Q33">((($G$20+L$11)+L$24)*L$27)*L$77</f>
        <v>286</v>
      </c>
      <c r="M33" s="5">
        <f t="shared" si="20"/>
        <v>286</v>
      </c>
      <c r="N33" s="5">
        <f t="shared" si="20"/>
        <v>286</v>
      </c>
      <c r="O33" s="5">
        <f t="shared" si="20"/>
        <v>286</v>
      </c>
      <c r="P33" s="5">
        <f t="shared" si="20"/>
        <v>286</v>
      </c>
      <c r="Q33" s="5">
        <f t="shared" si="20"/>
        <v>286</v>
      </c>
      <c r="R33" s="1"/>
      <c r="S33" s="1"/>
      <c r="T33" s="1"/>
      <c r="U33" s="1"/>
      <c r="V33" s="1"/>
      <c r="W33" s="1"/>
    </row>
    <row r="34" spans="1:23" ht="12.75" customHeight="1">
      <c r="A34" s="1" t="s">
        <v>68</v>
      </c>
      <c r="B34" s="2" t="s">
        <v>53</v>
      </c>
      <c r="C34" s="1"/>
      <c r="D34" s="1"/>
      <c r="E34" s="1"/>
      <c r="F34" s="1"/>
      <c r="G34" s="3"/>
      <c r="H34" s="1"/>
      <c r="I34" s="1"/>
      <c r="J34" s="1"/>
      <c r="K34" s="1" t="s">
        <v>11</v>
      </c>
      <c r="L34" s="1">
        <f aca="true" t="shared" si="21" ref="L34:Q34">FLOOR(AVERAGE(L28:L29),1)</f>
        <v>106</v>
      </c>
      <c r="M34" s="1">
        <f t="shared" si="21"/>
        <v>106</v>
      </c>
      <c r="N34" s="1">
        <f t="shared" si="21"/>
        <v>106</v>
      </c>
      <c r="O34" s="1">
        <f t="shared" si="21"/>
        <v>106</v>
      </c>
      <c r="P34" s="1">
        <f t="shared" si="21"/>
        <v>106</v>
      </c>
      <c r="Q34" s="1">
        <f t="shared" si="21"/>
        <v>106</v>
      </c>
      <c r="R34" s="1"/>
      <c r="S34" s="1"/>
      <c r="T34" s="1"/>
      <c r="U34" s="1"/>
      <c r="V34" s="1"/>
      <c r="W34" s="1"/>
    </row>
    <row r="35" spans="1:23" ht="12.75" customHeight="1">
      <c r="A35" s="1" t="s">
        <v>266</v>
      </c>
      <c r="B35" s="3">
        <f>IF(($B$30="2HANDED"),FLOOR(($G$8*0.75),1),FLOOR(($G$8*0.5),1))</f>
        <v>74</v>
      </c>
      <c r="C35" s="3">
        <f>IF(($B$30="2HANDED"),FLOOR(($G$9*0.75),1),FLOOR(($G$9*0.5),1))</f>
        <v>56</v>
      </c>
      <c r="D35" s="1" t="s">
        <v>285</v>
      </c>
      <c r="E35" s="9">
        <f>Buffs!I10</f>
        <v>0</v>
      </c>
      <c r="F35" s="1"/>
      <c r="G35" s="3"/>
      <c r="H35" s="1"/>
      <c r="I35" s="1"/>
      <c r="J35" s="1"/>
      <c r="K35" s="1" t="s">
        <v>69</v>
      </c>
      <c r="L35" s="1">
        <f aca="true" t="shared" si="22" ref="L35:Q35">IF($I$17=0,FLOOR(AVERAGE(L30:L31),1),FLOOR(AVERAGE(L30:L31)*(1-$I$21)+($I$21*L$36),1))</f>
        <v>134</v>
      </c>
      <c r="M35" s="1">
        <f t="shared" si="22"/>
        <v>134</v>
      </c>
      <c r="N35" s="1">
        <f t="shared" si="22"/>
        <v>134</v>
      </c>
      <c r="O35" s="1">
        <f t="shared" si="22"/>
        <v>134</v>
      </c>
      <c r="P35" s="1">
        <f t="shared" si="22"/>
        <v>134</v>
      </c>
      <c r="Q35" s="1">
        <f t="shared" si="22"/>
        <v>134</v>
      </c>
      <c r="R35" s="1"/>
      <c r="S35" s="1"/>
      <c r="T35" s="1"/>
      <c r="U35" s="1"/>
      <c r="V35" s="1"/>
      <c r="W35" s="1"/>
    </row>
    <row r="36" spans="1:23" ht="12.75" customHeight="1">
      <c r="A36" s="1" t="s">
        <v>267</v>
      </c>
      <c r="B36" s="3">
        <f>(8+$B$15+$B$16+$C$16+$B$35)</f>
        <v>388</v>
      </c>
      <c r="C36" s="3">
        <f>$G$25+$B$17+$C$17+$G$15+$C35</f>
        <v>375</v>
      </c>
      <c r="D36" s="1" t="s">
        <v>286</v>
      </c>
      <c r="E36" s="3">
        <f>FLOOR((B36+E16)*(1+E35),1)</f>
        <v>388</v>
      </c>
      <c r="F36" s="1"/>
      <c r="G36" s="3"/>
      <c r="H36" s="1"/>
      <c r="I36" s="1"/>
      <c r="J36" s="1"/>
      <c r="K36" s="1" t="s">
        <v>70</v>
      </c>
      <c r="L36" s="1">
        <f aca="true" t="shared" si="23" ref="L36:Q36">FLOOR(AVERAGE(L32:L33),1)</f>
        <v>249</v>
      </c>
      <c r="M36" s="1">
        <f t="shared" si="23"/>
        <v>249</v>
      </c>
      <c r="N36" s="1">
        <f t="shared" si="23"/>
        <v>249</v>
      </c>
      <c r="O36" s="1">
        <f t="shared" si="23"/>
        <v>249</v>
      </c>
      <c r="P36" s="1">
        <f t="shared" si="23"/>
        <v>249</v>
      </c>
      <c r="Q36" s="1">
        <f t="shared" si="23"/>
        <v>249</v>
      </c>
      <c r="R36" s="1"/>
      <c r="S36" s="1" t="s">
        <v>180</v>
      </c>
      <c r="T36" s="1"/>
      <c r="U36" s="1"/>
      <c r="V36" s="1"/>
      <c r="W36" s="1"/>
    </row>
    <row r="37" spans="1:23" ht="12.75" customHeight="1">
      <c r="A37" s="1" t="s">
        <v>71</v>
      </c>
      <c r="B37" s="2"/>
      <c r="C37" s="1"/>
      <c r="D37" s="1"/>
      <c r="E37" s="1"/>
      <c r="F37" s="1"/>
      <c r="G37" s="9">
        <f>IF((((0.75+(($G$17-$F$19)*0.005))+((($B$4-$F$4)*4)*0.005))&gt;0.95),0.95,IF((((0.75+(($G$17-$F$19)*0.005))+((($B$4-$F$4)*4)*0.005))&lt;0.2),0.2,((0.75+(($G$17-$F$19)*0.005))+((($B$4-$F$4)*4)*0.005))))</f>
        <v>0.95</v>
      </c>
      <c r="H37" s="1"/>
      <c r="I37" s="1"/>
      <c r="J37" s="1"/>
      <c r="K37" s="1" t="s">
        <v>72</v>
      </c>
      <c r="L37" s="1">
        <f aca="true" t="shared" si="24" ref="L37:Q37">IF(($I$17&gt;0),FLOOR(((L$36*$I$21)+(L$34*(1-$I$21))),1),L$34)</f>
        <v>120</v>
      </c>
      <c r="M37" s="1">
        <f t="shared" si="24"/>
        <v>120</v>
      </c>
      <c r="N37" s="1">
        <f t="shared" si="24"/>
        <v>120</v>
      </c>
      <c r="O37" s="1">
        <f t="shared" si="24"/>
        <v>120</v>
      </c>
      <c r="P37" s="1">
        <f t="shared" si="24"/>
        <v>120</v>
      </c>
      <c r="Q37" s="1">
        <f t="shared" si="24"/>
        <v>120</v>
      </c>
      <c r="R37" s="1" t="s">
        <v>431</v>
      </c>
      <c r="S37" s="26">
        <f>(($G$21*(1-$G$29-$D$49))/60)</f>
        <v>5.459999999999999</v>
      </c>
      <c r="T37" s="1"/>
      <c r="U37" s="1"/>
      <c r="V37" s="1"/>
      <c r="W37" s="1"/>
    </row>
    <row r="38" spans="1:23" ht="12.75" customHeight="1">
      <c r="A38" s="1" t="s">
        <v>73</v>
      </c>
      <c r="B38" s="9">
        <f>IF($B$30="DW",Jobs!F22,0)</f>
        <v>0</v>
      </c>
      <c r="C38" s="7">
        <v>0.05</v>
      </c>
      <c r="D38" s="7"/>
      <c r="E38" s="7"/>
      <c r="F38" s="1"/>
      <c r="G38" s="1"/>
      <c r="H38" s="1"/>
      <c r="I38" s="1"/>
      <c r="J38" s="1"/>
      <c r="K38" s="1" t="s">
        <v>74</v>
      </c>
      <c r="L38" s="1">
        <f aca="true" t="shared" si="25" ref="L38:Q38">FLOOR(((L$35*($I$16-1))*$G$37),1)</f>
        <v>381</v>
      </c>
      <c r="M38" s="1">
        <f t="shared" si="25"/>
        <v>381</v>
      </c>
      <c r="N38" s="1">
        <f t="shared" si="25"/>
        <v>381</v>
      </c>
      <c r="O38" s="1">
        <f t="shared" si="25"/>
        <v>381</v>
      </c>
      <c r="P38" s="1">
        <f t="shared" si="25"/>
        <v>381</v>
      </c>
      <c r="Q38" s="1">
        <f t="shared" si="25"/>
        <v>381</v>
      </c>
      <c r="R38" s="1" t="s">
        <v>430</v>
      </c>
      <c r="S38" s="26">
        <f>30/$S$37</f>
        <v>5.494505494505495</v>
      </c>
      <c r="T38" s="1"/>
      <c r="U38" s="1"/>
      <c r="V38" s="1"/>
      <c r="W38" s="1"/>
    </row>
    <row r="39" spans="1:23" ht="12.75" customHeight="1">
      <c r="A39" s="1" t="s">
        <v>75</v>
      </c>
      <c r="B39" s="9">
        <f>IF($B$2="SAM",VLOOKUP($B$4,JA!B50:G50,4,TRUE),IF($B$3="SAM",VLOOKUP($B$5,JA!B49:G49,4,TRUE),0))</f>
        <v>0.6</v>
      </c>
      <c r="C39" s="1"/>
      <c r="D39" s="1"/>
      <c r="E39" s="1"/>
      <c r="F39" s="1"/>
      <c r="G39" s="1"/>
      <c r="H39" s="1"/>
      <c r="I39" s="1"/>
      <c r="J39" s="1"/>
      <c r="K39" s="1" t="s">
        <v>297</v>
      </c>
      <c r="L39" s="1">
        <f aca="true" t="shared" si="26" ref="L39:Q39">IF($B$2="THF",L$8+$G$9+$G$11,0)</f>
        <v>0</v>
      </c>
      <c r="M39" s="1">
        <f t="shared" si="26"/>
        <v>0</v>
      </c>
      <c r="N39" s="1">
        <f t="shared" si="26"/>
        <v>0</v>
      </c>
      <c r="O39" s="1">
        <f t="shared" si="26"/>
        <v>0</v>
      </c>
      <c r="P39" s="1">
        <f t="shared" si="26"/>
        <v>0</v>
      </c>
      <c r="Q39" s="1">
        <f t="shared" si="26"/>
        <v>0</v>
      </c>
      <c r="R39" s="1" t="s">
        <v>432</v>
      </c>
      <c r="S39" s="26">
        <f>$S$38*$G$37</f>
        <v>5.219780219780221</v>
      </c>
      <c r="T39" s="1"/>
      <c r="U39" s="1"/>
      <c r="V39" s="1"/>
      <c r="W39" s="1"/>
    </row>
    <row r="40" spans="1:23" ht="12.75" customHeight="1">
      <c r="A40" s="1" t="s">
        <v>97</v>
      </c>
      <c r="B40" s="23">
        <f>IF($B$2="WAR",VLOOKUP($B$4,JA!B64:G76,4,TRUE),IF($B$3="WAR",VLOOKUP($B$5,JA!B64:G76,4,TRUE),0))</f>
        <v>0</v>
      </c>
      <c r="C40" s="3">
        <f>FLOOR($E$36*(1+B40),1)</f>
        <v>388</v>
      </c>
      <c r="D40" s="3">
        <f>HLOOKUP(MATCH($D$2,Food!$B$1:$Z$1),Food!$B$2:$Z$37,26,TRUE)</f>
        <v>0</v>
      </c>
      <c r="E40" s="1"/>
      <c r="F40" s="1"/>
      <c r="G40" s="3">
        <f>SUM(C40:D40)</f>
        <v>388</v>
      </c>
      <c r="H40" s="1"/>
      <c r="I40" s="1"/>
      <c r="J40" s="1"/>
      <c r="K40" s="1" t="s">
        <v>298</v>
      </c>
      <c r="L40" s="1">
        <f aca="true" t="shared" si="27" ref="L40:Q40">IF($B$2="THF",L$8+$G$9,0)</f>
        <v>0</v>
      </c>
      <c r="M40" s="1">
        <f t="shared" si="27"/>
        <v>0</v>
      </c>
      <c r="N40" s="1">
        <f t="shared" si="27"/>
        <v>0</v>
      </c>
      <c r="O40" s="1">
        <f t="shared" si="27"/>
        <v>0</v>
      </c>
      <c r="P40" s="1">
        <f t="shared" si="27"/>
        <v>0</v>
      </c>
      <c r="Q40" s="1">
        <f t="shared" si="27"/>
        <v>0</v>
      </c>
      <c r="R40" s="1" t="s">
        <v>433</v>
      </c>
      <c r="S40" s="26">
        <f>30/$G$54</f>
        <v>5.416666666666667</v>
      </c>
      <c r="T40" s="1"/>
      <c r="U40" s="1"/>
      <c r="V40" s="1"/>
      <c r="W40" s="1"/>
    </row>
    <row r="41" spans="1:23" ht="12.75" customHeight="1">
      <c r="A41" s="1" t="s">
        <v>98</v>
      </c>
      <c r="B41" s="23">
        <f>IF($B$2="DRK",VLOOKUP($B$4,JA!B11:G13,4,TRUE),IF($B$3="DRK",VLOOKUP($B$5,JA!B11:G13,4,TRUE),0))</f>
        <v>0</v>
      </c>
      <c r="C41" s="3">
        <f>FLOOR($E$36*(1+B41),1)</f>
        <v>388</v>
      </c>
      <c r="D41" s="3">
        <f>HLOOKUP(MATCH($D$2,Food!$B$1:$Z$1),Food!$B$2:$Z$37,27,TRUE)</f>
        <v>0</v>
      </c>
      <c r="E41" s="1"/>
      <c r="F41" s="1"/>
      <c r="G41" s="3">
        <f>SUM(C41:D41)</f>
        <v>388</v>
      </c>
      <c r="H41" s="1"/>
      <c r="I41" s="1"/>
      <c r="J41" s="1"/>
      <c r="K41" s="1" t="s">
        <v>299</v>
      </c>
      <c r="L41" s="1">
        <f aca="true" t="shared" si="28" ref="L41:Q41">IF($B$2="THF",L$8+$G$11,0)</f>
        <v>0</v>
      </c>
      <c r="M41" s="1">
        <f t="shared" si="28"/>
        <v>0</v>
      </c>
      <c r="N41" s="1">
        <f t="shared" si="28"/>
        <v>0</v>
      </c>
      <c r="O41" s="1">
        <f t="shared" si="28"/>
        <v>0</v>
      </c>
      <c r="P41" s="1">
        <f t="shared" si="28"/>
        <v>0</v>
      </c>
      <c r="Q41" s="1">
        <f t="shared" si="28"/>
        <v>0</v>
      </c>
      <c r="R41" s="1" t="s">
        <v>434</v>
      </c>
      <c r="S41" s="26">
        <f>IF($S$39-$S$40&lt;0,0,$S$39-$S$40)</f>
        <v>0</v>
      </c>
      <c r="T41" s="1"/>
      <c r="U41" s="1"/>
      <c r="V41" s="1"/>
      <c r="W41" s="1"/>
    </row>
    <row r="42" spans="1:23" ht="12.75" customHeight="1">
      <c r="A42" s="1" t="s">
        <v>195</v>
      </c>
      <c r="B42" s="23">
        <f>IF($B$2="MNK",VLOOKUP($B$4,JA!B24:G26,4,TRUE),IF($B$3="MNK",VLOOKUP($B$5,JA!B24:G26,4,TRUE),0))</f>
        <v>0</v>
      </c>
      <c r="C42" s="3">
        <f>FLOOR($E$36*(1+B42),1)</f>
        <v>388</v>
      </c>
      <c r="D42" s="3">
        <f>HLOOKUP(MATCH($D$2,Food!$B$1:$Z$1),Food!$B$2:$Z$37,28,TRUE)</f>
        <v>0</v>
      </c>
      <c r="E42" s="1"/>
      <c r="F42" s="1"/>
      <c r="G42" s="3">
        <f>SUM(C42:D42)</f>
        <v>388</v>
      </c>
      <c r="H42" s="1"/>
      <c r="I42" s="1"/>
      <c r="J42" s="1"/>
      <c r="K42" s="1" t="s">
        <v>300</v>
      </c>
      <c r="L42" s="8">
        <f aca="true" t="shared" si="29" ref="L42:Q42">L$40*L$76</f>
        <v>0</v>
      </c>
      <c r="M42" s="8">
        <f t="shared" si="29"/>
        <v>0</v>
      </c>
      <c r="N42" s="8">
        <f t="shared" si="29"/>
        <v>0</v>
      </c>
      <c r="O42" s="8">
        <f t="shared" si="29"/>
        <v>0</v>
      </c>
      <c r="P42" s="8">
        <f t="shared" si="29"/>
        <v>0</v>
      </c>
      <c r="Q42" s="8">
        <f t="shared" si="29"/>
        <v>0</v>
      </c>
      <c r="R42" s="1"/>
      <c r="S42" s="26"/>
      <c r="T42" s="1"/>
      <c r="U42" s="1"/>
      <c r="V42" s="1"/>
      <c r="W42" s="1"/>
    </row>
    <row r="43" spans="1:23" ht="12.75" customHeight="1">
      <c r="A43" s="1" t="s">
        <v>100</v>
      </c>
      <c r="B43" s="2" t="s">
        <v>53</v>
      </c>
      <c r="C43" s="3">
        <f>IF((B43="YES"),FLOOR((E36*(C26/E36)*(C40/E36)*(C41/E36)*(C42/E36)),1),E36)</f>
        <v>388</v>
      </c>
      <c r="D43" s="3">
        <f>HLOOKUP(MATCH($D$2,Food!$B$1:$Z$1),Food!$B$2:$Z$37,29,TRUE)</f>
        <v>0</v>
      </c>
      <c r="E43" s="1"/>
      <c r="F43" s="1"/>
      <c r="G43" s="3">
        <f>SUM(C43:D43)</f>
        <v>388</v>
      </c>
      <c r="H43" s="1"/>
      <c r="I43" s="1"/>
      <c r="J43" s="1"/>
      <c r="K43" s="1" t="s">
        <v>301</v>
      </c>
      <c r="L43" s="8">
        <f aca="true" t="shared" si="30" ref="L43:Q43">L$40*L$77</f>
        <v>0</v>
      </c>
      <c r="M43" s="8">
        <f t="shared" si="30"/>
        <v>0</v>
      </c>
      <c r="N43" s="8">
        <f t="shared" si="30"/>
        <v>0</v>
      </c>
      <c r="O43" s="8">
        <f t="shared" si="30"/>
        <v>0</v>
      </c>
      <c r="P43" s="8">
        <f t="shared" si="30"/>
        <v>0</v>
      </c>
      <c r="Q43" s="8">
        <f t="shared" si="30"/>
        <v>0</v>
      </c>
      <c r="R43" s="1"/>
      <c r="S43" s="1"/>
      <c r="T43" s="1"/>
      <c r="U43" s="1"/>
      <c r="V43" s="1"/>
      <c r="W43" s="1"/>
    </row>
    <row r="44" spans="1:23" ht="12.75" customHeight="1">
      <c r="A44" s="1" t="s">
        <v>325</v>
      </c>
      <c r="B44" s="7"/>
      <c r="C44" s="1" t="s">
        <v>327</v>
      </c>
      <c r="D44" s="3">
        <f>FLOOR(SUM(D45:D48),1)</f>
        <v>0</v>
      </c>
      <c r="E44" s="1"/>
      <c r="F44" s="1"/>
      <c r="G44" s="1"/>
      <c r="H44" s="51" t="s">
        <v>442</v>
      </c>
      <c r="I44" s="7">
        <v>0</v>
      </c>
      <c r="J44" s="1"/>
      <c r="K44" s="1" t="s">
        <v>302</v>
      </c>
      <c r="L44" s="8">
        <f aca="true" t="shared" si="31" ref="L44:Q44">L$41*L$76</f>
        <v>0</v>
      </c>
      <c r="M44" s="8">
        <f t="shared" si="31"/>
        <v>0</v>
      </c>
      <c r="N44" s="8">
        <f t="shared" si="31"/>
        <v>0</v>
      </c>
      <c r="O44" s="8">
        <f t="shared" si="31"/>
        <v>0</v>
      </c>
      <c r="P44" s="8">
        <f t="shared" si="31"/>
        <v>0</v>
      </c>
      <c r="Q44" s="8">
        <f t="shared" si="31"/>
        <v>0</v>
      </c>
      <c r="R44" s="1"/>
      <c r="S44" s="1"/>
      <c r="T44" s="1"/>
      <c r="U44" s="1"/>
      <c r="V44" s="1"/>
      <c r="W44" s="1"/>
    </row>
    <row r="45" spans="1:23" ht="12.75" customHeight="1">
      <c r="A45" s="1" t="s">
        <v>197</v>
      </c>
      <c r="B45" s="27">
        <f>IF($B$2="MNK",VLOOKUP($B$4,JA!$B$27:$G$29,4,TRUE),IF($B$3="MNK",VLOOKUP($B$5,JA!$B$27:$G$29,4,TRUE),0))</f>
        <v>0</v>
      </c>
      <c r="C45" s="28">
        <f>IF($B$2="MNK",VLOOKUP($B$4,JA!$B$27:$G$29,6,TRUE),IF($B$3="MNK",VLOOKUP($B$5,JA!$B$27:$G$29,6,TRUE),0))</f>
        <v>0</v>
      </c>
      <c r="D45" s="50">
        <f>B45*C45</f>
        <v>0</v>
      </c>
      <c r="E45" s="1"/>
      <c r="F45" s="1"/>
      <c r="G45" s="1"/>
      <c r="H45" s="51" t="s">
        <v>407</v>
      </c>
      <c r="I45" s="7">
        <v>1</v>
      </c>
      <c r="J45" s="1"/>
      <c r="K45" s="1" t="s">
        <v>303</v>
      </c>
      <c r="L45" s="8">
        <f aca="true" t="shared" si="32" ref="L45:Q45">L$41*L$77</f>
        <v>0</v>
      </c>
      <c r="M45" s="8">
        <f t="shared" si="32"/>
        <v>0</v>
      </c>
      <c r="N45" s="8">
        <f t="shared" si="32"/>
        <v>0</v>
      </c>
      <c r="O45" s="8">
        <f t="shared" si="32"/>
        <v>0</v>
      </c>
      <c r="P45" s="8">
        <f t="shared" si="32"/>
        <v>0</v>
      </c>
      <c r="Q45" s="8">
        <f t="shared" si="32"/>
        <v>0</v>
      </c>
      <c r="R45" s="1"/>
      <c r="S45" s="1"/>
      <c r="T45" s="1"/>
      <c r="U45" s="1"/>
      <c r="V45" s="1"/>
      <c r="W45" s="1"/>
    </row>
    <row r="46" spans="1:23" ht="12.75" customHeight="1">
      <c r="A46" s="1" t="s">
        <v>185</v>
      </c>
      <c r="B46" s="27">
        <f>IF($B$2="DRK",VLOOKUP($B$4,JA!$B$17:$G$19,4,TRUE),IF($B$3="DRK",VLOOKUP($B$5,JA!$B$17:$G$19,4,TRUE),0))</f>
        <v>0</v>
      </c>
      <c r="C46" s="28">
        <f>IF($B$2="DRK",VLOOKUP($B$4,JA!$B$17:$G$19,6,TRUE),IF($B$3="DRK",VLOOKUP($B$5,JA!$B$17:$G$19,6,TRUE),0))</f>
        <v>0</v>
      </c>
      <c r="D46" s="50">
        <f>B46*C46</f>
        <v>0</v>
      </c>
      <c r="E46" s="11"/>
      <c r="F46" s="1"/>
      <c r="G46" s="26"/>
      <c r="H46" s="51" t="s">
        <v>338</v>
      </c>
      <c r="I46" s="1">
        <f>FLOOR((($I$52/$F$54)+(($I$52/180)*$B$39)+FLOOR($T$70,1)),1)</f>
        <v>128</v>
      </c>
      <c r="J46" s="1"/>
      <c r="K46" s="1" t="s">
        <v>304</v>
      </c>
      <c r="L46" s="5">
        <f aca="true" t="shared" si="33" ref="L46:Q46">IF($B$2="THF",((($G$20+L$11+L$24)*L$27)+$G$11)*L$76,0)</f>
        <v>0</v>
      </c>
      <c r="M46" s="5">
        <f t="shared" si="33"/>
        <v>0</v>
      </c>
      <c r="N46" s="5">
        <f t="shared" si="33"/>
        <v>0</v>
      </c>
      <c r="O46" s="5">
        <f t="shared" si="33"/>
        <v>0</v>
      </c>
      <c r="P46" s="5">
        <f t="shared" si="33"/>
        <v>0</v>
      </c>
      <c r="Q46" s="5">
        <f t="shared" si="33"/>
        <v>0</v>
      </c>
      <c r="R46" s="1"/>
      <c r="S46" s="1"/>
      <c r="T46" s="1"/>
      <c r="U46" s="1"/>
      <c r="V46" s="1"/>
      <c r="W46" s="1"/>
    </row>
    <row r="47" spans="1:23" ht="12.75" customHeight="1">
      <c r="A47" s="1" t="s">
        <v>186</v>
      </c>
      <c r="B47" s="27">
        <f>IF($B$2="DRK",VLOOKUP($B$4,JA!$B$20:$G$21,4,TRUE),0)</f>
        <v>0</v>
      </c>
      <c r="C47" s="28">
        <f>IF($B$2="DRK",VLOOKUP($B$4,JA!$B$20:$G$21,6,TRUE),0)</f>
        <v>0</v>
      </c>
      <c r="D47" s="50">
        <f>B47*C47</f>
        <v>0</v>
      </c>
      <c r="E47" s="1"/>
      <c r="F47" s="1"/>
      <c r="G47" s="1"/>
      <c r="H47" s="51" t="s">
        <v>383</v>
      </c>
      <c r="I47" s="1">
        <f>FLOOR(($I$52/$G$52)*(1+$G27+2*$G$28),1)</f>
        <v>685</v>
      </c>
      <c r="J47" s="1"/>
      <c r="K47" s="1" t="s">
        <v>305</v>
      </c>
      <c r="L47" s="5">
        <f aca="true" t="shared" si="34" ref="L47:Q47">IF($B$2="THF",((($G$20+L$11+L$24)*L$27)+$G$11)*L$77,0)</f>
        <v>0</v>
      </c>
      <c r="M47" s="5">
        <f t="shared" si="34"/>
        <v>0</v>
      </c>
      <c r="N47" s="5">
        <f t="shared" si="34"/>
        <v>0</v>
      </c>
      <c r="O47" s="5">
        <f t="shared" si="34"/>
        <v>0</v>
      </c>
      <c r="P47" s="5">
        <f t="shared" si="34"/>
        <v>0</v>
      </c>
      <c r="Q47" s="5">
        <f t="shared" si="34"/>
        <v>0</v>
      </c>
      <c r="R47" s="1"/>
      <c r="S47" s="1"/>
      <c r="T47" s="1"/>
      <c r="U47" s="1"/>
      <c r="V47" s="1"/>
      <c r="W47" s="1"/>
    </row>
    <row r="48" spans="1:23" ht="12.75" customHeight="1">
      <c r="A48" s="1" t="s">
        <v>221</v>
      </c>
      <c r="B48" s="27">
        <f>IF($B$2="WAR",VLOOKUP($B$4,JA!$B$77:$G$79,4,TRUE),0)</f>
        <v>0</v>
      </c>
      <c r="C48" s="28">
        <f>IF($B$2="WAR",VLOOKUP($B$4,JA!$B$77:$G$79,6,TRUE),0)</f>
        <v>0</v>
      </c>
      <c r="D48" s="50">
        <f>B48*C48</f>
        <v>0</v>
      </c>
      <c r="E48" s="1"/>
      <c r="F48" s="1"/>
      <c r="G48" s="8"/>
      <c r="H48" s="54" t="s">
        <v>384</v>
      </c>
      <c r="I48" s="22">
        <f>FLOOR($F$52+((($I$16-1)*(1+$G$24))*0.01),0.001)</f>
        <v>0.184</v>
      </c>
      <c r="J48" s="1"/>
      <c r="K48" s="1" t="s">
        <v>306</v>
      </c>
      <c r="L48" s="5">
        <f aca="true" t="shared" si="35" ref="L48:Q48">((($G$20+L$11+L$24)*L$27)+$G$9)*L$76</f>
        <v>326.12799999999993</v>
      </c>
      <c r="M48" s="5">
        <f t="shared" si="35"/>
        <v>326.12799999999993</v>
      </c>
      <c r="N48" s="5">
        <f t="shared" si="35"/>
        <v>326.12799999999993</v>
      </c>
      <c r="O48" s="5">
        <f t="shared" si="35"/>
        <v>326.12799999999993</v>
      </c>
      <c r="P48" s="5">
        <f t="shared" si="35"/>
        <v>326.12799999999993</v>
      </c>
      <c r="Q48" s="5">
        <f t="shared" si="35"/>
        <v>326.12799999999993</v>
      </c>
      <c r="R48" s="1"/>
      <c r="S48" s="1"/>
      <c r="T48" s="1"/>
      <c r="U48" s="1"/>
      <c r="V48" s="1"/>
      <c r="W48" s="1"/>
    </row>
    <row r="49" spans="1:23" ht="12.75" customHeight="1">
      <c r="A49" s="1" t="s">
        <v>215</v>
      </c>
      <c r="B49" s="9">
        <f>IF($B$2="SAM",VLOOKUP($B$4,'Job Traits'!$A$34:$C$35,3,TRUE),0)</f>
        <v>0</v>
      </c>
      <c r="C49" s="1" t="s">
        <v>180</v>
      </c>
      <c r="D49" s="9">
        <f>IF($B$2="DRK",IF($B$30="2HANDED",IF(VLOOKUP($B$4,'Job Traits'!$A$15:$C$16,3,TRUE)+$B$29&gt;0.25,0.25-$B$29,VLOOKUP($B$4,'Job Traits'!$A$15:$C$16,3,TRUE)),0),0)</f>
        <v>0</v>
      </c>
      <c r="E49" s="1"/>
      <c r="F49" s="1"/>
      <c r="G49" s="1"/>
      <c r="H49" s="1"/>
      <c r="I49" s="1"/>
      <c r="J49" s="1" t="s">
        <v>330</v>
      </c>
      <c r="K49" s="1" t="s">
        <v>307</v>
      </c>
      <c r="L49" s="5">
        <f aca="true" t="shared" si="36" ref="L49:Q49">((($G$20+L$11+L$24)*L$27)+$G$9)*L$77</f>
        <v>436</v>
      </c>
      <c r="M49" s="5">
        <f t="shared" si="36"/>
        <v>436</v>
      </c>
      <c r="N49" s="5">
        <f t="shared" si="36"/>
        <v>436</v>
      </c>
      <c r="O49" s="5">
        <f t="shared" si="36"/>
        <v>436</v>
      </c>
      <c r="P49" s="5">
        <f t="shared" si="36"/>
        <v>436</v>
      </c>
      <c r="Q49" s="5">
        <f t="shared" si="36"/>
        <v>436</v>
      </c>
      <c r="R49" s="1" t="s">
        <v>329</v>
      </c>
      <c r="S49" s="1" t="s">
        <v>331</v>
      </c>
      <c r="T49" s="1"/>
      <c r="U49" s="1"/>
      <c r="V49" s="1"/>
      <c r="W49" s="1"/>
    </row>
    <row r="50" spans="1:23" ht="12.75" customHeight="1">
      <c r="A50" s="1"/>
      <c r="B50" s="1"/>
      <c r="C50" s="1"/>
      <c r="D50" s="1"/>
      <c r="E50" s="1"/>
      <c r="F50" s="1"/>
      <c r="G50" s="1"/>
      <c r="H50" s="1"/>
      <c r="I50" s="1"/>
      <c r="J50" s="4">
        <f>FLOOR(((L50*L$9)+(M50*M$9)+(N50*N$9)+(O50*O$9)),1)</f>
        <v>0</v>
      </c>
      <c r="K50" s="1" t="s">
        <v>315</v>
      </c>
      <c r="L50" s="1">
        <f aca="true" t="shared" si="37" ref="L50:Q50">FLOOR(AVERAGE(L$42:L$43)*L$2+L$6,1)</f>
        <v>0</v>
      </c>
      <c r="M50" s="1">
        <f t="shared" si="37"/>
        <v>0</v>
      </c>
      <c r="N50" s="1">
        <f t="shared" si="37"/>
        <v>0</v>
      </c>
      <c r="O50" s="1">
        <f t="shared" si="37"/>
        <v>0</v>
      </c>
      <c r="P50" s="1">
        <f t="shared" si="37"/>
        <v>0</v>
      </c>
      <c r="Q50" s="1">
        <f t="shared" si="37"/>
        <v>0</v>
      </c>
      <c r="R50" s="1">
        <f>IF($B$2="THF",FLOOR($I$52/VLOOKUP($B$4,JA!$B$53:$C$55,2),1),IF($B$3="THF",FLOOR(Setup1!$I$52/VLOOKUP($B$5,JA!$B$53:$C$55,2),1),0))</f>
        <v>0</v>
      </c>
      <c r="S50" s="1">
        <f>IF($D$51="SAWS",0,J50*R50)</f>
        <v>0</v>
      </c>
      <c r="T50" s="1"/>
      <c r="U50" s="1"/>
      <c r="V50" s="1"/>
      <c r="W50" s="1"/>
    </row>
    <row r="51" spans="1:23" ht="12.75" customHeight="1">
      <c r="A51" s="52" t="s">
        <v>333</v>
      </c>
      <c r="B51" s="52" t="s">
        <v>76</v>
      </c>
      <c r="C51" s="52" t="s">
        <v>77</v>
      </c>
      <c r="D51" s="53" t="s">
        <v>336</v>
      </c>
      <c r="E51" s="52" t="s">
        <v>337</v>
      </c>
      <c r="F51" s="52" t="s">
        <v>78</v>
      </c>
      <c r="G51" s="52" t="s">
        <v>431</v>
      </c>
      <c r="H51" s="52" t="s">
        <v>79</v>
      </c>
      <c r="I51" s="52" t="s">
        <v>80</v>
      </c>
      <c r="J51" s="4">
        <f>FLOOR(((L51*L$9)+(M51*M$9)+(N51*N$9)+(O51*O$9)),1)</f>
        <v>0</v>
      </c>
      <c r="K51" s="1" t="s">
        <v>316</v>
      </c>
      <c r="L51" s="1">
        <f aca="true" t="shared" si="38" ref="L51:Q51">IF($B$30="DW",FLOOR(AVERAGE(L$44:L$45)*L$2+L$6,1),FLOOR(AVERAGE(L$44:L$45)*L$2,1))</f>
        <v>0</v>
      </c>
      <c r="M51" s="1">
        <f t="shared" si="38"/>
        <v>0</v>
      </c>
      <c r="N51" s="1">
        <f t="shared" si="38"/>
        <v>0</v>
      </c>
      <c r="O51" s="1">
        <f t="shared" si="38"/>
        <v>0</v>
      </c>
      <c r="P51" s="1">
        <f t="shared" si="38"/>
        <v>0</v>
      </c>
      <c r="Q51" s="1">
        <f t="shared" si="38"/>
        <v>0</v>
      </c>
      <c r="R51" s="1">
        <f>IF($B$2="THF",FLOOR($I$52/VLOOKUP($B$4,JA!$B$56:$C$58,2),1),0)</f>
        <v>0</v>
      </c>
      <c r="S51" s="1">
        <f>IF($D$51="TAWS",0,J51*R51)</f>
        <v>0</v>
      </c>
      <c r="T51" s="1"/>
      <c r="U51" s="1"/>
      <c r="V51" s="1"/>
      <c r="W51" s="1"/>
    </row>
    <row r="52" spans="1:23" ht="12.75" customHeight="1">
      <c r="A52" s="11">
        <f>IF($B$30="DW",SUM($J$3,$J$5),$J$3)</f>
        <v>96</v>
      </c>
      <c r="B52" s="11">
        <f>IF($B$30="DW",SUM($J$4,$J$6),$J$4)</f>
        <v>225</v>
      </c>
      <c r="C52" s="11">
        <f>$J$7</f>
        <v>626</v>
      </c>
      <c r="D52" s="29">
        <f>IF(D51="SAWS",J52,IF(D51="TAWS",J53,0))</f>
        <v>0</v>
      </c>
      <c r="E52" s="29">
        <f>IF(D51="SAWS",IF($R$52&gt;$I$46,$I$46,$R$52),IF(D51="TAWS",IF($R$53&gt;$I$46,$I$46,$R$53),0))</f>
        <v>0</v>
      </c>
      <c r="F52" s="30">
        <f>FLOOR((VLOOKUP($G$21,'Reference Tables'!$A$51:$B$55,2,TRUE)*(1+$G$24)),0.001)</f>
        <v>0.148</v>
      </c>
      <c r="G52" s="31">
        <f>(($G$21*(1-$G$29))/60)</f>
        <v>5.459999999999999</v>
      </c>
      <c r="H52" s="11">
        <f>CEILING((($I$45-$I$48)/$F$52),1)+1</f>
        <v>7</v>
      </c>
      <c r="I52" s="2">
        <v>3600</v>
      </c>
      <c r="J52" s="4">
        <f>FLOOR(((L52*L$9)+(M52*M$9)+(N52*N$9)+(O52*O$9)),1)</f>
        <v>0</v>
      </c>
      <c r="K52" s="1" t="s">
        <v>317</v>
      </c>
      <c r="L52" s="1">
        <f aca="true" t="shared" si="39" ref="L52:Q52">IF($B$2="THF",IF($I$17="YES",FLOOR((AVERAGE(L$48:L$49)*L$2),1)+L$38*L$2+FLOOR(L$6*$G$32+L$5*(1-$G$32),1),FLOOR((AVERAGE(L$48:L$49)*L$2),1)+L$38*L$2+L$5),IF($B$3="THF",FLOOR((L$36+L$38)*L$2,1),0))</f>
        <v>0</v>
      </c>
      <c r="M52" s="1">
        <f t="shared" si="39"/>
        <v>0</v>
      </c>
      <c r="N52" s="1">
        <f t="shared" si="39"/>
        <v>0</v>
      </c>
      <c r="O52" s="1">
        <f t="shared" si="39"/>
        <v>0</v>
      </c>
      <c r="P52" s="1">
        <f t="shared" si="39"/>
        <v>0</v>
      </c>
      <c r="Q52" s="1">
        <f t="shared" si="39"/>
        <v>0</v>
      </c>
      <c r="R52" s="1">
        <f>IF($B$2="THF",FLOOR($I$52/VLOOKUP($B$4,JA!$B$53:$C$55,2),1),IF($B$3="THF",FLOOR(Setup1!$I$52/VLOOKUP($B$5,JA!$B$53:$C$55,2),1),0))</f>
        <v>0</v>
      </c>
      <c r="S52" s="1"/>
      <c r="T52" s="1"/>
      <c r="U52" s="1"/>
      <c r="V52" s="1"/>
      <c r="W52" s="1"/>
    </row>
    <row r="53" spans="1:23" ht="12.75" customHeight="1">
      <c r="A53" s="51" t="s">
        <v>404</v>
      </c>
      <c r="B53" s="51" t="s">
        <v>81</v>
      </c>
      <c r="C53" s="51" t="s">
        <v>82</v>
      </c>
      <c r="D53" s="51" t="s">
        <v>83</v>
      </c>
      <c r="E53" s="51" t="s">
        <v>340</v>
      </c>
      <c r="F53" s="51" t="s">
        <v>85</v>
      </c>
      <c r="G53" s="51" t="s">
        <v>84</v>
      </c>
      <c r="H53" s="51" t="s">
        <v>86</v>
      </c>
      <c r="I53" s="51" t="s">
        <v>87</v>
      </c>
      <c r="J53" s="4">
        <f>FLOOR(((L53*L$9)+(M53*M$9)+(N53*N$9)+(O53*O$9)),1)</f>
        <v>0</v>
      </c>
      <c r="K53" s="1" t="s">
        <v>318</v>
      </c>
      <c r="L53" s="1">
        <f aca="true" t="shared" si="40" ref="L53:Q53">IF($B$2="THF",IF($I$17="YES",FLOOR((AVERAGE(L$46:L$47)*L$2),1)+L$38*L$2+FLOOR(L$6*$G$32+L$5*(1-$G$32),1),FLOOR((AVERAGE(L$46:L$47)*L$2),1)+L$38*L$2+L$5),0)</f>
        <v>0</v>
      </c>
      <c r="M53" s="1">
        <f t="shared" si="40"/>
        <v>0</v>
      </c>
      <c r="N53" s="1">
        <f t="shared" si="40"/>
        <v>0</v>
      </c>
      <c r="O53" s="1">
        <f t="shared" si="40"/>
        <v>0</v>
      </c>
      <c r="P53" s="1">
        <f t="shared" si="40"/>
        <v>0</v>
      </c>
      <c r="Q53" s="1">
        <f t="shared" si="40"/>
        <v>0</v>
      </c>
      <c r="R53" s="1">
        <f>IF($B$2="THF",FLOOR($I$52/VLOOKUP($B$4,JA!$B$56:$C$58,2),1),0)</f>
        <v>0</v>
      </c>
      <c r="S53" s="1"/>
      <c r="T53" s="1"/>
      <c r="U53" s="1"/>
      <c r="V53" s="1"/>
      <c r="W53" s="1"/>
    </row>
    <row r="54" spans="1:23" ht="12.75" customHeight="1">
      <c r="A54" s="2">
        <v>10</v>
      </c>
      <c r="B54" s="11">
        <f>FLOOR((($B$52*$G$32)+($A$52*(1-$G$32))),1)+$A$54</f>
        <v>117</v>
      </c>
      <c r="C54" s="11">
        <f>FLOOR($I$47*$G$37,1)</f>
        <v>650</v>
      </c>
      <c r="D54" s="11">
        <f>$B$54*$C$54</f>
        <v>76050</v>
      </c>
      <c r="E54" s="29">
        <f>$E$52*$D$52</f>
        <v>0</v>
      </c>
      <c r="F54" s="32">
        <f>($H$52-1)*$G$54</f>
        <v>33.230769230769226</v>
      </c>
      <c r="G54" s="32">
        <f>$I$52/$C$54</f>
        <v>5.538461538461538</v>
      </c>
      <c r="H54" s="11">
        <f>$I$46-$E$52</f>
        <v>128</v>
      </c>
      <c r="I54" s="11">
        <f>$H$54*$C$52</f>
        <v>80128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>
      <c r="A55" s="1"/>
      <c r="B55" s="1"/>
      <c r="C55" s="1"/>
      <c r="D55" s="11"/>
      <c r="E55" s="1"/>
      <c r="F55" s="1"/>
      <c r="G55" s="1"/>
      <c r="H55" s="1"/>
      <c r="I55" s="1"/>
      <c r="K55" s="1" t="s">
        <v>308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>
      <c r="A56" s="51" t="s">
        <v>88</v>
      </c>
      <c r="B56" s="51" t="s">
        <v>89</v>
      </c>
      <c r="C56" s="51" t="s">
        <v>82</v>
      </c>
      <c r="D56" s="51" t="s">
        <v>328</v>
      </c>
      <c r="E56" s="51" t="s">
        <v>90</v>
      </c>
      <c r="F56" s="51" t="s">
        <v>91</v>
      </c>
      <c r="G56" s="51" t="s">
        <v>341</v>
      </c>
      <c r="H56" s="51" t="s">
        <v>87</v>
      </c>
      <c r="I56" s="51" t="s">
        <v>92</v>
      </c>
      <c r="K56" s="1" t="s">
        <v>13</v>
      </c>
      <c r="L56" s="1">
        <f aca="true" t="shared" si="41" ref="L56:Q56">FLOOR(($C$22+L11),1)</f>
        <v>9</v>
      </c>
      <c r="M56" s="1">
        <f t="shared" si="41"/>
        <v>9</v>
      </c>
      <c r="N56" s="1">
        <f t="shared" si="41"/>
        <v>9</v>
      </c>
      <c r="O56" s="1">
        <f t="shared" si="41"/>
        <v>9</v>
      </c>
      <c r="P56" s="1">
        <f t="shared" si="41"/>
        <v>9</v>
      </c>
      <c r="Q56" s="1">
        <f t="shared" si="41"/>
        <v>9</v>
      </c>
      <c r="R56" s="1"/>
      <c r="S56" s="1"/>
      <c r="T56" s="1"/>
      <c r="U56" s="1"/>
      <c r="V56" s="1"/>
      <c r="W56" s="1"/>
    </row>
    <row r="57" spans="1:23" ht="12.75" customHeight="1">
      <c r="A57" s="1" t="s">
        <v>237</v>
      </c>
      <c r="B57" s="33">
        <f>Setup1!$B$54</f>
        <v>117</v>
      </c>
      <c r="C57" s="33">
        <f>Setup1!$C$54</f>
        <v>650</v>
      </c>
      <c r="D57" s="33">
        <f>Setup1!$S$70</f>
        <v>7106</v>
      </c>
      <c r="E57" s="33">
        <f>Setup1!$D$54</f>
        <v>76050</v>
      </c>
      <c r="F57" s="33">
        <f>Setup1!$C$52</f>
        <v>626</v>
      </c>
      <c r="G57" s="33">
        <f>Setup1!$E$54</f>
        <v>0</v>
      </c>
      <c r="H57" s="33">
        <f>Setup1!$I$54</f>
        <v>80128</v>
      </c>
      <c r="I57" s="33">
        <f>SUM($D$57:$E$57,$G$57:$H$57)</f>
        <v>163284</v>
      </c>
      <c r="K57" s="1" t="s">
        <v>40</v>
      </c>
      <c r="L57" s="8">
        <f aca="true" t="shared" si="42" ref="L57:Q57">L$56*L$15</f>
        <v>4.463999999999998</v>
      </c>
      <c r="M57" s="8">
        <f t="shared" si="42"/>
        <v>4.463999999999998</v>
      </c>
      <c r="N57" s="8">
        <f t="shared" si="42"/>
        <v>4.463999999999998</v>
      </c>
      <c r="O57" s="8">
        <f t="shared" si="42"/>
        <v>4.463999999999998</v>
      </c>
      <c r="P57" s="8">
        <f t="shared" si="42"/>
        <v>4.463999999999998</v>
      </c>
      <c r="Q57" s="8">
        <f t="shared" si="42"/>
        <v>4.463999999999998</v>
      </c>
      <c r="R57" s="1"/>
      <c r="S57" s="1"/>
      <c r="T57" s="1"/>
      <c r="U57" s="1"/>
      <c r="V57" s="1"/>
      <c r="W57" s="1"/>
    </row>
    <row r="58" spans="1:23" ht="12.75" customHeight="1">
      <c r="A58" s="1" t="s">
        <v>238</v>
      </c>
      <c r="B58" s="33">
        <f>Setup2!$B$54</f>
        <v>140</v>
      </c>
      <c r="C58" s="33">
        <f>Setup2!$C$54</f>
        <v>624</v>
      </c>
      <c r="D58" s="33">
        <f>Setup2!$S$70</f>
        <v>8683</v>
      </c>
      <c r="E58" s="33">
        <f>Setup2!$D$54</f>
        <v>87360</v>
      </c>
      <c r="F58" s="33">
        <f>Setup2!$C$52</f>
        <v>751</v>
      </c>
      <c r="G58" s="33">
        <f>Setup2!$E$54</f>
        <v>0</v>
      </c>
      <c r="H58" s="33">
        <f>Setup2!$I$54</f>
        <v>72096</v>
      </c>
      <c r="I58" s="33">
        <f>SUM($D$58:$E$58,$G$58:$H$58)</f>
        <v>168139</v>
      </c>
      <c r="K58" s="1" t="s">
        <v>42</v>
      </c>
      <c r="L58" s="8">
        <f aca="true" t="shared" si="43" ref="L58:Q58">L$56*L$16</f>
        <v>9</v>
      </c>
      <c r="M58" s="8">
        <f t="shared" si="43"/>
        <v>9</v>
      </c>
      <c r="N58" s="8">
        <f t="shared" si="43"/>
        <v>9</v>
      </c>
      <c r="O58" s="8">
        <f t="shared" si="43"/>
        <v>9</v>
      </c>
      <c r="P58" s="8">
        <f t="shared" si="43"/>
        <v>9</v>
      </c>
      <c r="Q58" s="8">
        <f t="shared" si="43"/>
        <v>9</v>
      </c>
      <c r="R58" s="1"/>
      <c r="S58" s="1"/>
      <c r="T58" s="1"/>
      <c r="U58" s="1"/>
      <c r="V58" s="1"/>
      <c r="W58" s="1"/>
    </row>
    <row r="59" spans="1:23" ht="12.75" customHeight="1">
      <c r="A59" s="1"/>
      <c r="B59" s="1"/>
      <c r="C59" s="1"/>
      <c r="D59" s="1"/>
      <c r="E59" s="1"/>
      <c r="K59" s="1" t="s">
        <v>44</v>
      </c>
      <c r="L59" s="8">
        <f aca="true" t="shared" si="44" ref="L59:Q59">AVERAGE(L57:L58)</f>
        <v>6.731999999999999</v>
      </c>
      <c r="M59" s="8">
        <f t="shared" si="44"/>
        <v>6.731999999999999</v>
      </c>
      <c r="N59" s="8">
        <f t="shared" si="44"/>
        <v>6.731999999999999</v>
      </c>
      <c r="O59" s="8">
        <f t="shared" si="44"/>
        <v>6.731999999999999</v>
      </c>
      <c r="P59" s="8">
        <f t="shared" si="44"/>
        <v>6.731999999999999</v>
      </c>
      <c r="Q59" s="8">
        <f t="shared" si="44"/>
        <v>6.731999999999999</v>
      </c>
      <c r="R59" s="1"/>
      <c r="S59" s="1"/>
      <c r="T59" s="1"/>
      <c r="U59" s="1"/>
      <c r="V59" s="1"/>
      <c r="W59" s="1"/>
    </row>
    <row r="60" spans="4:23" ht="12.75" customHeight="1">
      <c r="D60" s="1"/>
      <c r="E60" s="1"/>
      <c r="K60" s="1" t="s">
        <v>46</v>
      </c>
      <c r="L60" s="8">
        <f aca="true" t="shared" si="45" ref="L60:Q60">L$56*L$17</f>
        <v>13.463999999999999</v>
      </c>
      <c r="M60" s="8">
        <f t="shared" si="45"/>
        <v>13.463999999999999</v>
      </c>
      <c r="N60" s="8">
        <f t="shared" si="45"/>
        <v>13.463999999999999</v>
      </c>
      <c r="O60" s="8">
        <f t="shared" si="45"/>
        <v>13.463999999999999</v>
      </c>
      <c r="P60" s="8">
        <f t="shared" si="45"/>
        <v>13.463999999999999</v>
      </c>
      <c r="Q60" s="8">
        <f t="shared" si="45"/>
        <v>13.463999999999999</v>
      </c>
      <c r="R60" s="1"/>
      <c r="S60" s="1"/>
      <c r="T60" s="1"/>
      <c r="U60" s="1"/>
      <c r="V60" s="1"/>
      <c r="W60" s="1"/>
    </row>
    <row r="61" spans="4:23" ht="12.75" customHeight="1">
      <c r="D61" s="1"/>
      <c r="E61" s="1"/>
      <c r="K61" s="1" t="s">
        <v>48</v>
      </c>
      <c r="L61" s="8">
        <f aca="true" t="shared" si="46" ref="L61:Q61">L$56*L$18</f>
        <v>18</v>
      </c>
      <c r="M61" s="8">
        <f t="shared" si="46"/>
        <v>18</v>
      </c>
      <c r="N61" s="8">
        <f t="shared" si="46"/>
        <v>18</v>
      </c>
      <c r="O61" s="8">
        <f t="shared" si="46"/>
        <v>18</v>
      </c>
      <c r="P61" s="8">
        <f t="shared" si="46"/>
        <v>18</v>
      </c>
      <c r="Q61" s="8">
        <f t="shared" si="46"/>
        <v>18</v>
      </c>
      <c r="R61" s="1"/>
      <c r="S61" s="1"/>
      <c r="T61" s="1"/>
      <c r="U61" s="1"/>
      <c r="V61" s="1"/>
      <c r="W61" s="1"/>
    </row>
    <row r="62" spans="4:23" ht="12.75" customHeight="1">
      <c r="D62" s="1"/>
      <c r="E62" s="1"/>
      <c r="F62" s="1"/>
      <c r="G62" s="1"/>
      <c r="H62" s="1"/>
      <c r="I62" s="1"/>
      <c r="J62" s="1"/>
      <c r="K62" s="44" t="s">
        <v>319</v>
      </c>
      <c r="L62" s="1"/>
      <c r="M62" s="1"/>
      <c r="N62" s="1"/>
      <c r="O62" s="1"/>
      <c r="P62" s="1"/>
      <c r="Q62" s="1"/>
      <c r="R62" s="1"/>
      <c r="S62" s="1"/>
      <c r="T62" s="1" t="s">
        <v>332</v>
      </c>
      <c r="U62" s="1"/>
      <c r="V62" s="1"/>
      <c r="W62" s="1"/>
    </row>
    <row r="63" spans="2:23" ht="12.75" customHeight="1">
      <c r="B63" s="1"/>
      <c r="C63" s="1"/>
      <c r="D63" s="1"/>
      <c r="E63" s="1"/>
      <c r="F63" s="1"/>
      <c r="G63" s="1"/>
      <c r="H63" s="1"/>
      <c r="I63" s="1"/>
      <c r="J63" s="1"/>
      <c r="K63" s="1" t="s">
        <v>180</v>
      </c>
      <c r="L63" s="1"/>
      <c r="M63" s="1"/>
      <c r="O63" s="1">
        <f>FLOOR(O3*(1-$G$32)+O4*$G$32,1)</f>
        <v>107</v>
      </c>
      <c r="P63" s="1"/>
      <c r="Q63" s="1"/>
      <c r="R63" s="1">
        <f>CEILING($S$41,1)</f>
        <v>0</v>
      </c>
      <c r="S63" s="1">
        <f>O63*R63</f>
        <v>0</v>
      </c>
      <c r="T63" s="22">
        <f>FLOOR($F$52*R63*$G$37,0.001)</f>
        <v>0</v>
      </c>
      <c r="U63" s="1"/>
      <c r="V63" s="1"/>
      <c r="W63" s="1"/>
    </row>
    <row r="64" spans="2:23" ht="12.75" customHeight="1">
      <c r="B64" s="1"/>
      <c r="C64" s="1"/>
      <c r="D64" s="31"/>
      <c r="E64" s="32"/>
      <c r="F64" s="1"/>
      <c r="G64" s="1"/>
      <c r="H64" s="1"/>
      <c r="I64" s="1"/>
      <c r="J64" s="4">
        <f aca="true" t="shared" si="47" ref="J64:J69">FLOOR(((L64*L$9)+(M64*M$9)+(N64*N$9)+(O64*O$9)),1)</f>
        <v>139</v>
      </c>
      <c r="K64" s="1" t="s">
        <v>170</v>
      </c>
      <c r="L64" s="1">
        <f aca="true" t="shared" si="48" ref="L64:Q64">IF($B$2="DRG",FLOOR(AVERAGE(FLOOR(((L$8)*($G$10/256+1))*L$2,1)*L$15,FLOOR(((L$8)*($G$10/256+1))*L$2,1)*L$16)*(1-$G$32)+AVERAGE(FLOOR(((L$8)*($G$10/256+1))*L$2,1)*L$17,FLOOR(((L$8)*($G$10/256+1))*L$2,1)*L$18)*$G$32,1),IF($B$3="DRG",FLOOR(AVERAGE(FLOOR(((L$8)*($G$10/256+1))*L$2,1)*L$15,FLOOR(((L$8)*($G$10/256+1))*L$2,1)*L$16)*(1-$G$32)+AVERAGE(FLOOR(((L$8)*($G$10/256+1))*L$2,1)*L$17,FLOOR(((L$8)*($G$10/256+1))*L$2,1)*L$18)*$G$32,1),0))</f>
        <v>139</v>
      </c>
      <c r="M64" s="1">
        <f t="shared" si="48"/>
        <v>139</v>
      </c>
      <c r="N64" s="1">
        <f t="shared" si="48"/>
        <v>139</v>
      </c>
      <c r="O64" s="1">
        <f t="shared" si="48"/>
        <v>139</v>
      </c>
      <c r="P64" s="1">
        <f t="shared" si="48"/>
        <v>139</v>
      </c>
      <c r="Q64" s="1">
        <f t="shared" si="48"/>
        <v>139</v>
      </c>
      <c r="R64" s="1">
        <f>IF($B$2="DRG",FLOOR($I$52/VLOOKUP($B$4,JA!$B$3:$C$5,2),1),IF($B$3="DRG",FLOOR(Setup1!$I$52/VLOOKUP($B$5,JA!$B$3:$C$5,2),1),0))</f>
        <v>40</v>
      </c>
      <c r="S64" s="1">
        <f>FLOOR(J64*R64*$G$37,1)</f>
        <v>5282</v>
      </c>
      <c r="T64" s="22">
        <f>FLOOR($F$52*R64*$G$37,0.001)</f>
        <v>5.6240000000000006</v>
      </c>
      <c r="U64" s="1"/>
      <c r="V64" s="1"/>
      <c r="W64" s="1"/>
    </row>
    <row r="65" spans="2:23" ht="12.75" customHeight="1">
      <c r="B65" s="1"/>
      <c r="C65" s="1"/>
      <c r="D65" s="1"/>
      <c r="E65" s="1"/>
      <c r="F65" s="1"/>
      <c r="G65" s="1"/>
      <c r="H65" s="1"/>
      <c r="I65" s="1"/>
      <c r="J65" s="4">
        <f t="shared" si="47"/>
        <v>96</v>
      </c>
      <c r="K65" s="1" t="s">
        <v>173</v>
      </c>
      <c r="L65" s="1">
        <f aca="true" t="shared" si="49" ref="L65:Q65">IF($B$2="DRG",L$3,IF($B$3="DRG",L$3,0))</f>
        <v>96</v>
      </c>
      <c r="M65" s="1">
        <f t="shared" si="49"/>
        <v>96</v>
      </c>
      <c r="N65" s="1">
        <f t="shared" si="49"/>
        <v>96</v>
      </c>
      <c r="O65" s="1">
        <f t="shared" si="49"/>
        <v>96</v>
      </c>
      <c r="P65" s="1">
        <f t="shared" si="49"/>
        <v>96</v>
      </c>
      <c r="Q65" s="1">
        <f t="shared" si="49"/>
        <v>96</v>
      </c>
      <c r="R65" s="1">
        <f>IF($B$2="DRG",FLOOR($I$52/VLOOKUP($B$4,JA!$B$6:$C$8,2),1),IF($B$3="DRG",FLOOR(Setup1!$I$52/VLOOKUP($B$5,JA!$B$6:$C$8,2),1),0))</f>
        <v>20</v>
      </c>
      <c r="S65" s="1">
        <f>FLOOR(J65*R65*$G$37,1)</f>
        <v>1824</v>
      </c>
      <c r="T65" s="22">
        <f>FLOOR($F$52*R65*$G$37,0.001)</f>
        <v>2.8120000000000003</v>
      </c>
      <c r="U65" s="1"/>
      <c r="V65" s="1"/>
      <c r="W65" s="1"/>
    </row>
    <row r="66" spans="2:23" ht="12.75" customHeight="1">
      <c r="B66" s="1"/>
      <c r="C66" s="1"/>
      <c r="D66" s="1"/>
      <c r="E66" s="1"/>
      <c r="F66" s="1"/>
      <c r="G66" s="1"/>
      <c r="H66" s="1"/>
      <c r="I66" s="1"/>
      <c r="J66" s="4">
        <f t="shared" si="47"/>
        <v>0</v>
      </c>
      <c r="K66" s="1" t="s">
        <v>182</v>
      </c>
      <c r="L66" s="1">
        <f aca="true" t="shared" si="50" ref="L66:Q66">IF($B$2="DRK",FLOOR(L$3*0.1,1),IF($B$3="DRK",FLOOR(L$3*0.1,1),0))</f>
        <v>0</v>
      </c>
      <c r="M66" s="1">
        <f t="shared" si="50"/>
        <v>0</v>
      </c>
      <c r="N66" s="1">
        <f t="shared" si="50"/>
        <v>0</v>
      </c>
      <c r="O66" s="1">
        <f t="shared" si="50"/>
        <v>0</v>
      </c>
      <c r="P66" s="1">
        <f t="shared" si="50"/>
        <v>0</v>
      </c>
      <c r="Q66" s="1">
        <f t="shared" si="50"/>
        <v>0</v>
      </c>
      <c r="R66" s="1">
        <f>IF($B$2="DRK",FLOOR($I$52/VLOOKUP($B$4,JA!$B$14:$C$16,2),1),IF($B$3="DRK",FLOOR(Setup1!$I$52/VLOOKUP($B$5,JA!$B$14:$C$16,2),1),0))</f>
        <v>0</v>
      </c>
      <c r="S66" s="1">
        <f>J66*R66</f>
        <v>0</v>
      </c>
      <c r="T66" s="22"/>
      <c r="U66" s="1"/>
      <c r="V66" s="1"/>
      <c r="W66" s="1"/>
    </row>
    <row r="67" spans="2:23" ht="12.75" customHeight="1">
      <c r="B67" s="1"/>
      <c r="C67" s="1"/>
      <c r="D67" s="1"/>
      <c r="E67" s="1"/>
      <c r="F67" s="1"/>
      <c r="G67" s="1"/>
      <c r="H67" s="1"/>
      <c r="I67" s="1"/>
      <c r="J67" s="4">
        <f t="shared" si="47"/>
        <v>0</v>
      </c>
      <c r="K67" s="1" t="s">
        <v>185</v>
      </c>
      <c r="L67" s="1">
        <f>IF($B$2="DRK",VLOOKUP(JA!$D$18,JA!$J$2:$M$34,4),IF($B$3="DRK",FLOOR(VLOOKUP(JA!$D$18,JA!$J$2:$M$34,4)/2,1),0))</f>
        <v>0</v>
      </c>
      <c r="M67" s="1">
        <f>IF($B$2="DRK",VLOOKUP(JA!$D$18,JA!$J$2:$M$34,4),IF($B$3="DRK",FLOOR(VLOOKUP(JA!$D$18,JA!$J$2:$M$34,4)/2,1),0))</f>
        <v>0</v>
      </c>
      <c r="N67" s="1">
        <f>IF($B$2="DRK",VLOOKUP(JA!$D$18,JA!$J$2:$M$34,4),IF($B$3="DRK",FLOOR(VLOOKUP(JA!$D$18,JA!$J$2:$M$34,4)/2,1),0))</f>
        <v>0</v>
      </c>
      <c r="O67" s="1">
        <f>IF($B$2="DRK",VLOOKUP(JA!$D$18,JA!$J$2:$M$34,4),IF($B$3="DRK",FLOOR(VLOOKUP(JA!$D$18,JA!$J$2:$M$34,4)/2,1),0))</f>
        <v>0</v>
      </c>
      <c r="P67" s="1">
        <f>IF($B$2="DRK",VLOOKUP(JA!$D$18,JA!$J$2:$M$34,4),IF($B$3="DRK",FLOOR(VLOOKUP(JA!$D$18,JA!$J$2:$M$34,4)/2,1),0))</f>
        <v>0</v>
      </c>
      <c r="Q67" s="1">
        <f>IF($B$2="DRK",VLOOKUP(JA!$D$18,JA!$J$2:$M$34,4),IF($B$3="DRK",FLOOR(VLOOKUP(JA!$D$18,JA!$J$2:$M$34,4)/2,1),0))</f>
        <v>0</v>
      </c>
      <c r="R67" s="1">
        <f>IF($B$2="DRK",FLOOR($I$52/VLOOKUP($B$4,JA!$B$17:$C$19,2),1),IF($B$3="DRK",FLOOR(Setup1!$I$52/VLOOKUP($B$5,JA!$B$17:$C$19,2),1),0))</f>
        <v>0</v>
      </c>
      <c r="S67" s="1">
        <f>J67*R67</f>
        <v>0</v>
      </c>
      <c r="T67" s="22"/>
      <c r="U67" s="1"/>
      <c r="V67" s="1"/>
      <c r="W67" s="1"/>
    </row>
    <row r="68" spans="1:23" ht="12.75" customHeight="1">
      <c r="A68" s="1"/>
      <c r="B68" s="1"/>
      <c r="C68" s="1"/>
      <c r="D68" s="1"/>
      <c r="E68" s="1"/>
      <c r="F68" s="1"/>
      <c r="G68" s="1"/>
      <c r="H68" s="1"/>
      <c r="I68" s="1"/>
      <c r="J68" s="4">
        <f t="shared" si="47"/>
        <v>0</v>
      </c>
      <c r="K68" s="1" t="s">
        <v>204</v>
      </c>
      <c r="L68" s="1">
        <f aca="true" t="shared" si="51" ref="L68:Q68">IF($B$2="PLD",FLOOR(L$3*0.1,1),IF($B$3="PLD",FLOOR(L$3*0.1,1),0))</f>
        <v>0</v>
      </c>
      <c r="M68" s="1">
        <f t="shared" si="51"/>
        <v>0</v>
      </c>
      <c r="N68" s="1">
        <f t="shared" si="51"/>
        <v>0</v>
      </c>
      <c r="O68" s="1">
        <f t="shared" si="51"/>
        <v>0</v>
      </c>
      <c r="P68" s="1">
        <f t="shared" si="51"/>
        <v>0</v>
      </c>
      <c r="Q68" s="1">
        <f t="shared" si="51"/>
        <v>0</v>
      </c>
      <c r="R68" s="1">
        <f>IF($B$2="PLD",FLOOR($I$52/VLOOKUP($B$4,JA!$B$35:$C$37,2),1),IF($B$3="PLD",FLOOR(Setup1!$I$52/VLOOKUP($B$5,JA!$B$35:$C$37,2),1),0))</f>
        <v>0</v>
      </c>
      <c r="S68" s="1">
        <f>J68*R68</f>
        <v>0</v>
      </c>
      <c r="T68" s="22"/>
      <c r="U68" s="1"/>
      <c r="V68" s="1"/>
      <c r="W68" s="1"/>
    </row>
    <row r="69" spans="1:23" ht="12.75" customHeight="1">
      <c r="A69" s="1"/>
      <c r="B69" s="1"/>
      <c r="C69" s="1"/>
      <c r="D69" s="1"/>
      <c r="E69" s="1"/>
      <c r="F69" s="1"/>
      <c r="G69" s="1"/>
      <c r="H69" s="1"/>
      <c r="I69" s="1"/>
      <c r="J69" s="4">
        <f t="shared" si="47"/>
        <v>0</v>
      </c>
      <c r="K69" s="1" t="s">
        <v>198</v>
      </c>
      <c r="L69" s="1">
        <f aca="true" t="shared" si="52" ref="L69:Q69">IF($B$2="MNK",$G$13*2,0)</f>
        <v>0</v>
      </c>
      <c r="M69" s="1">
        <f t="shared" si="52"/>
        <v>0</v>
      </c>
      <c r="N69" s="1">
        <f t="shared" si="52"/>
        <v>0</v>
      </c>
      <c r="O69" s="1">
        <f t="shared" si="52"/>
        <v>0</v>
      </c>
      <c r="P69" s="1">
        <f t="shared" si="52"/>
        <v>0</v>
      </c>
      <c r="Q69" s="1">
        <f t="shared" si="52"/>
        <v>0</v>
      </c>
      <c r="R69" s="1">
        <f>IF($B$2="MNK",FLOOR($I$52/VLOOKUP($B$4,JA!$B$30:$C$32,2),1),IF($B$3="MNK",FLOOR(Setup1!$I$52/VLOOKUP($B$5,JA!$B$30:$C$32,2),1),0))</f>
        <v>0</v>
      </c>
      <c r="S69" s="1">
        <f>J69*R69</f>
        <v>0</v>
      </c>
      <c r="T69" s="22"/>
      <c r="U69" s="1"/>
      <c r="V69" s="1"/>
      <c r="W69" s="1"/>
    </row>
    <row r="70" spans="1:2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 t="s">
        <v>339</v>
      </c>
      <c r="S70" s="1">
        <f>SUM(S50:S69)</f>
        <v>7106</v>
      </c>
      <c r="T70" s="22">
        <f>SUM(T64:T69)</f>
        <v>8.436</v>
      </c>
      <c r="U70" s="1"/>
      <c r="V70" s="1"/>
      <c r="W70" s="1"/>
    </row>
    <row r="71" spans="1:2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44" t="s">
        <v>427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 t="s">
        <v>406</v>
      </c>
      <c r="L72" s="1">
        <f>FLOOR((($G$16*(1+$B$42))/$F$18),0.01)</f>
        <v>1.18</v>
      </c>
      <c r="M72" s="1">
        <f>FLOOR((($G$26*(1+$B$42))/$F$18),0.01)</f>
        <v>1.18</v>
      </c>
      <c r="N72" s="1">
        <f>FLOOR((($G$40*(1+$B$42))/$F$18),0.01)</f>
        <v>1.18</v>
      </c>
      <c r="O72" s="1">
        <f>FLOOR((($G$41*(1+$B$42))/$F$18),0.01)</f>
        <v>1.18</v>
      </c>
      <c r="P72" s="1">
        <f>FLOOR((($G$42*(1+$B$42))/$F$18),0.01)</f>
        <v>1.18</v>
      </c>
      <c r="Q72" s="1">
        <f>FLOOR((($G$43*(1+$B$42))/$F$18),0.01)</f>
        <v>1.18</v>
      </c>
      <c r="R72" s="1"/>
      <c r="S72" s="1"/>
      <c r="T72" s="1"/>
      <c r="U72" s="1"/>
      <c r="V72" s="1"/>
      <c r="W72" s="1"/>
    </row>
    <row r="73" spans="1:2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 t="s">
        <v>405</v>
      </c>
      <c r="L73" s="1">
        <f aca="true" t="shared" si="53" ref="L73:Q73">IF(((L72-(0.05*($F$4-$B$4)))*$I$20&gt;2),2,IF(((L72-(0.05*($F$4-$B$4)))*$I$20&lt;0),0,(L72-(0.05*($F$4-$B$4)))*$I$20))</f>
        <v>0.8299999999999998</v>
      </c>
      <c r="M73" s="1">
        <f t="shared" si="53"/>
        <v>0.8299999999999998</v>
      </c>
      <c r="N73" s="1">
        <f t="shared" si="53"/>
        <v>0.8299999999999998</v>
      </c>
      <c r="O73" s="1">
        <f t="shared" si="53"/>
        <v>0.8299999999999998</v>
      </c>
      <c r="P73" s="1">
        <f t="shared" si="53"/>
        <v>0.8299999999999998</v>
      </c>
      <c r="Q73" s="1">
        <f t="shared" si="53"/>
        <v>0.8299999999999998</v>
      </c>
      <c r="R73" s="1"/>
      <c r="S73" s="1"/>
      <c r="T73" s="1"/>
      <c r="U73" s="1"/>
      <c r="V73" s="1"/>
      <c r="W73" s="1"/>
    </row>
    <row r="74" spans="1:2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 t="s">
        <v>423</v>
      </c>
      <c r="L74" s="1">
        <f>IF((VLOOKUP(L$73,'Reference Tables'!$A$15:$M$17,8,TRUE)&lt;0),0,VLOOKUP(L$73,'Reference Tables'!$A$15:$M$17,8,TRUE))</f>
        <v>0.4959999999999998</v>
      </c>
      <c r="M74" s="1">
        <f>IF((VLOOKUP(M$73,'Reference Tables'!$A$15:$M$17,9,TRUE)&lt;0),0,VLOOKUP(M$73,'Reference Tables'!$A$15:$M$17,9,TRUE))</f>
        <v>0.4959999999999998</v>
      </c>
      <c r="N74" s="1">
        <f>IF((VLOOKUP(N$73,'Reference Tables'!$A$15:$M$17,10,TRUE)&lt;0),0,VLOOKUP(N$73,'Reference Tables'!$A$15:$M$17,10,TRUE))</f>
        <v>0.4959999999999998</v>
      </c>
      <c r="O74" s="1">
        <f>IF((VLOOKUP(O$73,'Reference Tables'!$A$15:$M$17,11,TRUE)&lt;0),0,VLOOKUP(O$73,'Reference Tables'!$A$15:$M$17,11,TRUE))</f>
        <v>0.4959999999999998</v>
      </c>
      <c r="P74" s="1">
        <f>IF((VLOOKUP(P$73,'Reference Tables'!$A$15:$M$17,12,TRUE)&lt;0),0,VLOOKUP(P$73,'Reference Tables'!$A$15:$M$17,12,TRUE))</f>
        <v>0.4959999999999998</v>
      </c>
      <c r="Q74" s="1">
        <f>IF((VLOOKUP(Q$73,'Reference Tables'!$A$15:$M$17,13,TRUE)&lt;0),0,VLOOKUP(Q$73,'Reference Tables'!$A$15:$M$17,13,TRUE))</f>
        <v>0.4959999999999998</v>
      </c>
      <c r="R74" s="1"/>
      <c r="S74" s="1"/>
      <c r="T74" s="1"/>
      <c r="U74" s="1"/>
      <c r="V74" s="1"/>
      <c r="W74" s="1"/>
    </row>
    <row r="75" spans="1:2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 t="s">
        <v>424</v>
      </c>
      <c r="L75" s="1">
        <f>VLOOKUP(L$73,'Reference Tables'!$A$19:$M$21,8,TRUE)</f>
        <v>1</v>
      </c>
      <c r="M75" s="1">
        <f>VLOOKUP(M$73,'Reference Tables'!$A$19:$M$21,9,TRUE)</f>
        <v>1</v>
      </c>
      <c r="N75" s="1">
        <f>VLOOKUP(N$73,'Reference Tables'!$A$19:$M$21,10,TRUE)</f>
        <v>1</v>
      </c>
      <c r="O75" s="1">
        <f>VLOOKUP(O$73,'Reference Tables'!$A$19:$M$21,11,TRUE)</f>
        <v>1</v>
      </c>
      <c r="P75" s="1">
        <f>VLOOKUP(P$73,'Reference Tables'!$A$19:$M$21,12,TRUE)</f>
        <v>1</v>
      </c>
      <c r="Q75" s="1">
        <f>VLOOKUP(Q$73,'Reference Tables'!$A$19:$M$21,13,TRUE)</f>
        <v>1</v>
      </c>
      <c r="R75" s="1"/>
      <c r="S75" s="1"/>
      <c r="T75" s="1"/>
      <c r="U75" s="1"/>
      <c r="V75" s="1"/>
      <c r="W75" s="1"/>
    </row>
    <row r="76" spans="1:2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 t="s">
        <v>425</v>
      </c>
      <c r="L76" s="1">
        <f>IF(((VLOOKUP(L$73,'Reference Tables'!$A$15:$M$17,8,TRUE)+$C$31)&lt;0),0,(VLOOKUP(L$73,'Reference Tables'!$A$15:$M$17,8,TRUE)+$C$31))</f>
        <v>1.4959999999999998</v>
      </c>
      <c r="M76" s="1">
        <f>IF(((VLOOKUP(M$73,'Reference Tables'!$A$15:$M$17,9,TRUE)+$C$31)&lt;0),0,(VLOOKUP(M$73,'Reference Tables'!$A$15:$M$17,9,TRUE)+$C$31))</f>
        <v>1.4959999999999998</v>
      </c>
      <c r="N76" s="1">
        <f>IF(((VLOOKUP(N$73,'Reference Tables'!$A$15:$M$17,10,TRUE)+$C$31)&lt;0),0,(VLOOKUP(N$73,'Reference Tables'!$A$15:$M$17,10,TRUE)+$C$31))</f>
        <v>1.4959999999999998</v>
      </c>
      <c r="O76" s="1">
        <f>IF(((VLOOKUP(O$73,'Reference Tables'!$A$15:$M$17,11,TRUE)+$C$31)&lt;0),0,(VLOOKUP(O$73,'Reference Tables'!$A$15:$M$17,11,TRUE)+$C$31))</f>
        <v>1.4959999999999998</v>
      </c>
      <c r="P76" s="1">
        <f>IF(((VLOOKUP(P$73,'Reference Tables'!$A$15:$M$17,12,TRUE)+$C$31)&lt;0),0,(VLOOKUP(P$73,'Reference Tables'!$A$15:$M$17,12,TRUE)+$C$31))</f>
        <v>1.4959999999999998</v>
      </c>
      <c r="Q76" s="1">
        <f>IF(((VLOOKUP(Q$73,'Reference Tables'!$A$15:$M$17,13,TRUE)+$C$31)&lt;0),0,(VLOOKUP(Q$73,'Reference Tables'!$A$15:$M$17,13,TRUE)+$C$31))</f>
        <v>1.4959999999999998</v>
      </c>
      <c r="R76" s="1"/>
      <c r="S76" s="1"/>
      <c r="T76" s="1"/>
      <c r="U76" s="1"/>
      <c r="V76" s="1"/>
      <c r="W76" s="1"/>
    </row>
    <row r="77" spans="1:2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 t="s">
        <v>426</v>
      </c>
      <c r="L77" s="1">
        <f aca="true" t="shared" si="54" ref="L77:Q77">IF(((L$75+$C$31)&gt;3),3,(L$75+$C$31))</f>
        <v>2</v>
      </c>
      <c r="M77" s="1">
        <f t="shared" si="54"/>
        <v>2</v>
      </c>
      <c r="N77" s="1">
        <f t="shared" si="54"/>
        <v>2</v>
      </c>
      <c r="O77" s="1">
        <f t="shared" si="54"/>
        <v>2</v>
      </c>
      <c r="P77" s="1">
        <f t="shared" si="54"/>
        <v>2</v>
      </c>
      <c r="Q77" s="1">
        <f t="shared" si="54"/>
        <v>2</v>
      </c>
      <c r="R77" s="1"/>
      <c r="S77" s="1"/>
      <c r="T77" s="1"/>
      <c r="U77" s="1"/>
      <c r="V77" s="1"/>
      <c r="W77" s="1"/>
    </row>
    <row r="78" spans="1:2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</sheetData>
  <conditionalFormatting sqref="M1:M65536">
    <cfRule type="expression" priority="1" dxfId="0" stopIfTrue="1">
      <formula>$B$26=0</formula>
    </cfRule>
  </conditionalFormatting>
  <conditionalFormatting sqref="N1:N62 N64:N65536">
    <cfRule type="expression" priority="2" dxfId="0" stopIfTrue="1">
      <formula>$B$40=0</formula>
    </cfRule>
  </conditionalFormatting>
  <conditionalFormatting sqref="O1:O65536">
    <cfRule type="expression" priority="3" dxfId="0" stopIfTrue="1">
      <formula>$B$41=0</formula>
    </cfRule>
  </conditionalFormatting>
  <conditionalFormatting sqref="P1:P65536">
    <cfRule type="expression" priority="4" dxfId="0" stopIfTrue="1">
      <formula>$B$42=0</formula>
    </cfRule>
  </conditionalFormatting>
  <conditionalFormatting sqref="Q1:Q65536">
    <cfRule type="expression" priority="5" dxfId="0" stopIfTrue="1">
      <formula>$B$43="NO"</formula>
    </cfRule>
  </conditionalFormatting>
  <dataValidations count="8">
    <dataValidation type="list" allowBlank="1" showInputMessage="1" showErrorMessage="1" sqref="B2:B3">
      <formula1>Jobs</formula1>
    </dataValidation>
    <dataValidation type="list" allowBlank="1" showInputMessage="1" showErrorMessage="1" sqref="B30">
      <formula1>wtype</formula1>
    </dataValidation>
    <dataValidation type="list" allowBlank="1" showInputMessage="1" showErrorMessage="1" sqref="D2">
      <formula1>Food</formula1>
    </dataValidation>
    <dataValidation type="list" allowBlank="1" showInputMessage="1" showErrorMessage="1" sqref="E2:E7">
      <formula1>Buffs</formula1>
    </dataValidation>
    <dataValidation type="list" allowBlank="1" showInputMessage="1" showErrorMessage="1" sqref="H2">
      <formula1>WS</formula1>
    </dataValidation>
    <dataValidation type="list" allowBlank="1" showInputMessage="1" showErrorMessage="1" sqref="B34 B43">
      <formula1>YN</formula1>
    </dataValidation>
    <dataValidation type="list" allowBlank="1" showInputMessage="1" showErrorMessage="1" sqref="D51">
      <formula1>JAWS</formula1>
    </dataValidation>
    <dataValidation type="list" allowBlank="1" showInputMessage="1" showErrorMessage="1" sqref="F2">
      <formula1>Mobs</formula1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E3" sqref="E3"/>
    </sheetView>
  </sheetViews>
  <sheetFormatPr defaultColWidth="9.140625" defaultRowHeight="12.75"/>
  <cols>
    <col min="1" max="1" width="12.421875" style="0" bestFit="1" customWidth="1"/>
    <col min="2" max="2" width="4.7109375" style="0" bestFit="1" customWidth="1"/>
    <col min="3" max="3" width="5.140625" style="0" bestFit="1" customWidth="1"/>
    <col min="4" max="4" width="12.7109375" style="0" bestFit="1" customWidth="1"/>
    <col min="5" max="5" width="12.00390625" style="0" bestFit="1" customWidth="1"/>
    <col min="6" max="7" width="11.7109375" style="0" bestFit="1" customWidth="1"/>
    <col min="8" max="8" width="12.7109375" style="0" bestFit="1" customWidth="1"/>
    <col min="9" max="10" width="12.421875" style="0" bestFit="1" customWidth="1"/>
    <col min="12" max="12" width="17.8515625" style="0" bestFit="1" customWidth="1"/>
  </cols>
  <sheetData>
    <row r="1" spans="6:12" ht="12.75">
      <c r="F1" s="12" t="s">
        <v>282</v>
      </c>
      <c r="G1" s="12" t="s">
        <v>283</v>
      </c>
      <c r="I1" s="12" t="s">
        <v>272</v>
      </c>
      <c r="J1" s="12" t="s">
        <v>284</v>
      </c>
      <c r="L1" s="12" t="s">
        <v>390</v>
      </c>
    </row>
    <row r="2" spans="1:12" ht="12.75">
      <c r="A2" t="str">
        <f>L11</f>
        <v>Ecliptic Howl</v>
      </c>
      <c r="B2">
        <v>13</v>
      </c>
      <c r="C2" s="12" t="s">
        <v>114</v>
      </c>
      <c r="D2" s="12" t="s">
        <v>139</v>
      </c>
      <c r="E2" s="12" t="s">
        <v>387</v>
      </c>
      <c r="F2" s="12">
        <f>IF(Setup1!$E$2=A2,B2,IF(Setup1!$E$3=A2,B2,IF(Setup1!$E$4=A2,B2,IF(Setup1!$E$5=A2,B2,IF(Setup1!$E$6=A2,B2,IF(Setup1!$E$7=A2,B2,0))))))</f>
        <v>0</v>
      </c>
      <c r="G2" s="12">
        <f>IF(Setup2!$E$2=$A2,$B2,IF(Setup2!$E$3=$A2,$B2,IF(Setup2!$E$4=$A2,$B2,IF(Setup2!$E$5=$A2,$B2,IF(Setup2!$E$6=$A2,$B2,IF(Setup2!$E$7=$A2,$B2,0))))))</f>
        <v>0</v>
      </c>
      <c r="H2" s="1" t="s">
        <v>12</v>
      </c>
      <c r="I2">
        <f>SUM(F33:F35)</f>
        <v>0</v>
      </c>
      <c r="J2">
        <f>SUM(G33:G35)</f>
        <v>0</v>
      </c>
      <c r="K2" s="12"/>
      <c r="L2" s="14" t="s">
        <v>270</v>
      </c>
    </row>
    <row r="3" spans="1:12" ht="12.75">
      <c r="A3" s="12" t="str">
        <f>L15</f>
        <v>HunterRoll</v>
      </c>
      <c r="B3">
        <v>40</v>
      </c>
      <c r="C3" s="12" t="s">
        <v>124</v>
      </c>
      <c r="D3" s="12" t="s">
        <v>139</v>
      </c>
      <c r="E3" s="12" t="s">
        <v>159</v>
      </c>
      <c r="F3" s="12">
        <f>IF(Setup1!$E$2=$A3,$B3,IF(Setup1!$E$3=$A3,$B3,IF(Setup1!$E$4=$A3,$B3,IF(Setup1!$E$5=$A3,$B3,IF(Setup1!$E$6=$A3,$B3,IF(Setup1!$E$7=$A3,$B3,0))))))</f>
        <v>0</v>
      </c>
      <c r="G3" s="12">
        <f>IF(Setup2!$E$2=$A3,$B3,IF(Setup2!$E$3=$A3,$B3,IF(Setup2!$E$4=$A3,$B3,IF(Setup2!$E$5=$A3,$B3,IF(Setup2!$E$6=$A3,$B3,IF(Setup2!$E$7=$A3,$B3,0))))))</f>
        <v>0</v>
      </c>
      <c r="H3" s="1" t="s">
        <v>14</v>
      </c>
      <c r="I3">
        <f>SUM(F18:F20)</f>
        <v>0</v>
      </c>
      <c r="J3">
        <f>SUM(G18:G20)</f>
        <v>0</v>
      </c>
      <c r="L3" s="12" t="s">
        <v>147</v>
      </c>
    </row>
    <row r="4" spans="1:12" ht="12.75">
      <c r="A4" s="12" t="str">
        <f>L18</f>
        <v>Madrigal1</v>
      </c>
      <c r="B4">
        <v>15</v>
      </c>
      <c r="C4" s="12" t="s">
        <v>120</v>
      </c>
      <c r="D4" s="12" t="s">
        <v>139</v>
      </c>
      <c r="F4" s="12">
        <f>IF(Setup1!$E$2=A4,B4,IF(Setup1!$E$3=A4,B4,IF(Setup1!$E$4=A4,B4,IF(Setup1!$E$5=A4,B4,IF(Setup1!$E$6=A4,B4,IF(Setup1!$E$7=A4,B4,0))))))</f>
        <v>0</v>
      </c>
      <c r="G4" s="12">
        <f>IF(Setup2!$E$2=$A4,$B4,IF(Setup2!$E$3=$A4,$B4,IF(Setup2!$E$4=$A4,$B4,IF(Setup2!$E$5=$A4,$B4,IF(Setup2!$E$6=$A4,$B4,IF(Setup2!$E$7=$A4,$B4,0))))))</f>
        <v>0</v>
      </c>
      <c r="H4" s="1" t="s">
        <v>16</v>
      </c>
      <c r="I4">
        <f>SUM(F36:F38)</f>
        <v>0</v>
      </c>
      <c r="J4">
        <f>SUM(G36:G38)</f>
        <v>0</v>
      </c>
      <c r="L4" s="12" t="s">
        <v>148</v>
      </c>
    </row>
    <row r="5" spans="1:12" ht="12" customHeight="1">
      <c r="A5" s="12" t="str">
        <f>L19</f>
        <v>Madrigal2</v>
      </c>
      <c r="B5">
        <v>30</v>
      </c>
      <c r="C5" s="12" t="s">
        <v>120</v>
      </c>
      <c r="D5" s="12" t="s">
        <v>139</v>
      </c>
      <c r="F5" s="12">
        <f>IF(Setup1!$E$2=A5,B5,IF(Setup1!$E$3=A5,B5,IF(Setup1!$E$4=A5,B5,IF(Setup1!$E$5=A5,B5,IF(Setup1!$E$6=A5,B5,IF(Setup1!$E$7=A5,B5,0))))))</f>
        <v>0</v>
      </c>
      <c r="G5" s="12">
        <f>IF(Setup2!$E$2=$A5,$B5,IF(Setup2!$E$3=$A5,$B5,IF(Setup2!$E$4=$A5,$B5,IF(Setup2!$E$5=$A5,$B5,IF(Setup2!$E$6=$A5,$B5,IF(Setup2!$E$7=$A5,$B5,0))))))</f>
        <v>0</v>
      </c>
      <c r="H5" s="1" t="s">
        <v>18</v>
      </c>
      <c r="I5">
        <f>SUM(F6:F8)</f>
        <v>0</v>
      </c>
      <c r="J5">
        <f>SUM(G6:G8)</f>
        <v>0</v>
      </c>
      <c r="L5" s="12" t="s">
        <v>160</v>
      </c>
    </row>
    <row r="6" spans="1:12" ht="12.75">
      <c r="A6" s="12" t="str">
        <f>L3</f>
        <v>AGI1</v>
      </c>
      <c r="B6">
        <v>10</v>
      </c>
      <c r="C6" s="12" t="s">
        <v>120</v>
      </c>
      <c r="D6" s="12" t="s">
        <v>277</v>
      </c>
      <c r="F6" s="12">
        <f>IF(Setup1!$E$2=A6,B6,IF(Setup1!$E$3=A6,B6,IF(Setup1!$E$4=A6,B6,IF(Setup1!$E$5=A6,B6,IF(Setup1!$E$6=A6,B6,IF(Setup1!$E$7=A6,B6,0))))))</f>
        <v>0</v>
      </c>
      <c r="G6" s="12">
        <f>IF(Setup2!$E$2=$A6,$B6,IF(Setup2!$E$3=$A6,$B6,IF(Setup2!$E$4=$A6,$B6,IF(Setup2!$E$5=$A6,$B6,IF(Setup2!$E$6=$A6,$B6,IF(Setup2!$E$7=$A6,$B6,0))))))</f>
        <v>0</v>
      </c>
      <c r="H6" s="1" t="s">
        <v>20</v>
      </c>
      <c r="I6">
        <f>SUM(F26:F28)</f>
        <v>0</v>
      </c>
      <c r="J6">
        <f>SUM(G26:G28)</f>
        <v>0</v>
      </c>
      <c r="L6" s="12" t="s">
        <v>155</v>
      </c>
    </row>
    <row r="7" spans="1:12" ht="12.75">
      <c r="A7" s="12" t="str">
        <f>L4</f>
        <v>AGI2</v>
      </c>
      <c r="B7">
        <v>16</v>
      </c>
      <c r="C7" s="12" t="s">
        <v>120</v>
      </c>
      <c r="D7" s="12" t="s">
        <v>277</v>
      </c>
      <c r="F7" s="12">
        <f>IF(Setup1!$E$2=A7,B7,IF(Setup1!$E$3=A7,B7,IF(Setup1!$E$4=A7,B7,IF(Setup1!$E$5=A7,B7,IF(Setup1!$E$6=A7,B7,IF(Setup1!$E$7=A7,B7,0))))))</f>
        <v>0</v>
      </c>
      <c r="G7" s="12">
        <f>IF(Setup2!$E$2=$A7,$B7,IF(Setup2!$E$3=$A7,$B7,IF(Setup2!$E$4=$A7,$B7,IF(Setup2!$E$5=$A7,$B7,IF(Setup2!$E$6=$A7,$B7,IF(Setup2!$E$7=$A7,$B7,0))))))</f>
        <v>0</v>
      </c>
      <c r="H7" s="1" t="s">
        <v>22</v>
      </c>
      <c r="I7">
        <f>SUM(F29:F31)</f>
        <v>0</v>
      </c>
      <c r="J7">
        <f>SUM(G29:G31)</f>
        <v>0</v>
      </c>
      <c r="L7" s="12" t="s">
        <v>156</v>
      </c>
    </row>
    <row r="8" spans="1:12" ht="12.75">
      <c r="A8" s="12" t="str">
        <f>$L$10</f>
        <v>Ecliptic Growl</v>
      </c>
      <c r="B8">
        <v>4</v>
      </c>
      <c r="C8" s="12" t="s">
        <v>114</v>
      </c>
      <c r="D8" s="12" t="s">
        <v>277</v>
      </c>
      <c r="E8" s="12" t="s">
        <v>389</v>
      </c>
      <c r="F8" s="12">
        <f>IF(Setup1!$E$2=A8,B8,IF(Setup1!$E$3=A8,B8,IF(Setup1!$E$4=A8,B8,IF(Setup1!$E$5=A8,B8,IF(Setup1!$E$6=A8,B8,IF(Setup1!$E$7=A8,B8,0))))))</f>
        <v>0</v>
      </c>
      <c r="G8" s="12">
        <f>IF(Setup2!$E$2=$A8,$B8,IF(Setup2!$E$3=$A8,$B8,IF(Setup2!$E$4=$A8,$B8,IF(Setup2!$E$5=$A8,$B8,IF(Setup2!$E$6=$A8,$B8,IF(Setup2!$E$7=$A8,$B8,0))))))</f>
        <v>0</v>
      </c>
      <c r="H8" s="1" t="s">
        <v>24</v>
      </c>
      <c r="I8">
        <f>SUM(F14:F16)</f>
        <v>0</v>
      </c>
      <c r="J8">
        <f>SUM(G14:G16)</f>
        <v>0</v>
      </c>
      <c r="L8" s="12" t="s">
        <v>145</v>
      </c>
    </row>
    <row r="9" spans="1:12" ht="12.75">
      <c r="A9" s="12" t="str">
        <f>L5</f>
        <v>ChaosRoll</v>
      </c>
      <c r="B9" s="15">
        <v>0.25</v>
      </c>
      <c r="C9" s="18" t="s">
        <v>124</v>
      </c>
      <c r="D9" s="12" t="s">
        <v>273</v>
      </c>
      <c r="E9" s="12" t="s">
        <v>161</v>
      </c>
      <c r="F9" s="18">
        <f>IF(Setup1!$E$2=A9,B9,IF(Setup1!$E$3=A9,B9,IF(Setup1!$E$4=A9,B9,IF(Setup1!$E$5=A9,B9,IF(Setup1!$E$6=A9,B9,IF(Setup1!$E$7=A9,B9,0))))))</f>
        <v>0</v>
      </c>
      <c r="G9" s="18">
        <f>IF(Setup2!$E$2=$A9,$B9,IF(Setup2!$E$3=$A9,$B9,IF(Setup2!$E$4=$A9,$B9,IF(Setup2!$E$5=$A9,$B9,IF(Setup2!$E$6=$A9,$B9,IF(Setup2!$E$7=$A9,$B9,0))))))</f>
        <v>0</v>
      </c>
      <c r="H9" s="1" t="s">
        <v>30</v>
      </c>
      <c r="I9">
        <f>SUM(F10:F13)</f>
        <v>0</v>
      </c>
      <c r="J9">
        <f>SUM(G10:G13)</f>
        <v>0</v>
      </c>
      <c r="L9" s="12" t="s">
        <v>146</v>
      </c>
    </row>
    <row r="10" spans="1:12" ht="12.75">
      <c r="A10" s="12" t="str">
        <f>L20</f>
        <v>Minuet</v>
      </c>
      <c r="B10">
        <v>21</v>
      </c>
      <c r="C10" s="12" t="s">
        <v>120</v>
      </c>
      <c r="D10" s="12" t="s">
        <v>138</v>
      </c>
      <c r="F10" s="12">
        <f>IF(Setup1!$E$2=A10,B10,IF(Setup1!$E$3=A10,B10,IF(Setup1!$E$4=A10,B10,IF(Setup1!$E$5=A10,B10,IF(Setup1!$E$6=A10,B10,IF(Setup1!$E$7=A10,B10,0))))))</f>
        <v>0</v>
      </c>
      <c r="G10" s="12">
        <f>IF(Setup2!$E$2=$A10,$B10,IF(Setup2!$E$3=$A10,$B10,IF(Setup2!$E$4=$A10,$B10,IF(Setup2!$E$5=$A10,$B10,IF(Setup2!$E$6=$A10,$B10,IF(Setup2!$E$7=$A10,$B10,0))))))</f>
        <v>0</v>
      </c>
      <c r="H10" s="1" t="s">
        <v>273</v>
      </c>
      <c r="I10" s="15">
        <f>F9</f>
        <v>0</v>
      </c>
      <c r="J10" s="15">
        <f>G9</f>
        <v>0</v>
      </c>
      <c r="L10" s="12" t="s">
        <v>388</v>
      </c>
    </row>
    <row r="11" spans="1:12" ht="12.75">
      <c r="A11" s="12" t="str">
        <f>L21</f>
        <v>Minuet2</v>
      </c>
      <c r="B11">
        <v>37</v>
      </c>
      <c r="C11" s="12" t="s">
        <v>120</v>
      </c>
      <c r="D11" s="12" t="s">
        <v>138</v>
      </c>
      <c r="F11" s="12">
        <f>IF(Setup1!$E$2=A11,B11,IF(Setup1!$E$3=A11,B11,IF(Setup1!$E$4=A11,B11,IF(Setup1!$E$5=A11,B11,IF(Setup1!$E$6=A11,B11,IF(Setup1!$E$7=A11,B11,0))))))</f>
        <v>0</v>
      </c>
      <c r="G11" s="12">
        <f>IF(Setup2!$E$2=$A11,$B11,IF(Setup2!$E$3=$A11,$B11,IF(Setup2!$E$4=$A11,$B11,IF(Setup2!$E$5=$A11,$B11,IF(Setup2!$E$6=$A11,$B11,IF(Setup2!$E$7=$A11,$B11,0))))))</f>
        <v>0</v>
      </c>
      <c r="H11" s="1" t="s">
        <v>274</v>
      </c>
      <c r="I11">
        <f>SUM(F2:F5)</f>
        <v>0</v>
      </c>
      <c r="J11">
        <f>SUM(G2:G5)</f>
        <v>0</v>
      </c>
      <c r="L11" t="s">
        <v>386</v>
      </c>
    </row>
    <row r="12" spans="1:12" ht="12.75">
      <c r="A12" s="12" t="str">
        <f>L22</f>
        <v>Minuet3</v>
      </c>
      <c r="B12">
        <v>53</v>
      </c>
      <c r="C12" s="12" t="s">
        <v>120</v>
      </c>
      <c r="D12" s="12" t="s">
        <v>138</v>
      </c>
      <c r="F12" s="12">
        <f>IF(Setup1!$E$2=A12,B12,IF(Setup1!$E$3=A12,B12,IF(Setup1!$E$4=A12,B12,IF(Setup1!$E$5=A12,B12,IF(Setup1!$E$6=A12,B12,IF(Setup1!$E$7=A12,B12,0))))))</f>
        <v>0</v>
      </c>
      <c r="G12" s="12">
        <f>IF(Setup2!$E$2=$A12,$B12,IF(Setup2!$E$3=$A12,$B12,IF(Setup2!$E$4=$A12,$B12,IF(Setup2!$E$5=$A12,$B12,IF(Setup2!$E$6=$A12,$B12,IF(Setup2!$E$7=$A12,$B12,0))))))</f>
        <v>0</v>
      </c>
      <c r="H12" s="12" t="s">
        <v>55</v>
      </c>
      <c r="I12" s="15">
        <f>F21</f>
        <v>0</v>
      </c>
      <c r="J12" s="15">
        <f>G21</f>
        <v>0</v>
      </c>
      <c r="L12" s="12" t="s">
        <v>168</v>
      </c>
    </row>
    <row r="13" spans="1:12" ht="14.25" customHeight="1">
      <c r="A13" s="12" t="str">
        <f>L23</f>
        <v>Minuet4</v>
      </c>
      <c r="B13">
        <v>61</v>
      </c>
      <c r="C13" s="12" t="s">
        <v>120</v>
      </c>
      <c r="D13" s="12" t="s">
        <v>138</v>
      </c>
      <c r="F13" s="12">
        <f>IF(Setup1!$E$2=A13,B13,IF(Setup1!$E$3=A13,B13,IF(Setup1!$E$4=A13,B13,IF(Setup1!$E$5=A13,B13,IF(Setup1!$E$6=A13,B13,IF(Setup1!$E$7=A13,B13,0))))))</f>
        <v>0</v>
      </c>
      <c r="G13" s="12">
        <f>IF(Setup2!$E$2=$A13,$B13,IF(Setup2!$E$3=$A13,$B13,IF(Setup2!$E$4=$A13,$B13,IF(Setup2!$E$5=$A13,$B13,IF(Setup2!$E$6=$A13,$B13,IF(Setup2!$E$7=$A13,$B13,0))))))</f>
        <v>0</v>
      </c>
      <c r="H13" s="1" t="s">
        <v>57</v>
      </c>
      <c r="I13" s="15">
        <f>F32</f>
        <v>0</v>
      </c>
      <c r="J13" s="15">
        <f>G32</f>
        <v>0</v>
      </c>
      <c r="L13" s="12" t="s">
        <v>59</v>
      </c>
    </row>
    <row r="14" spans="1:12" ht="12.75">
      <c r="A14" s="12" t="str">
        <f>L6</f>
        <v>CHR1</v>
      </c>
      <c r="B14">
        <v>10</v>
      </c>
      <c r="C14" s="12" t="s">
        <v>120</v>
      </c>
      <c r="D14" s="12" t="s">
        <v>281</v>
      </c>
      <c r="F14" s="12">
        <f>IF(Setup1!$E$2=A14,B14,IF(Setup1!$E$3=A14,B14,IF(Setup1!$E$4=A14,B14,IF(Setup1!$E$5=A14,B14,IF(Setup1!$E$6=A14,B14,IF(Setup1!$E$7=A14,B14,0))))))</f>
        <v>0</v>
      </c>
      <c r="G14" s="12">
        <f>IF(Setup2!$E$2=$A14,$B14,IF(Setup2!$E$3=$A14,$B14,IF(Setup2!$E$4=$A14,$B14,IF(Setup2!$E$5=$A14,$B14,IF(Setup2!$E$6=$A14,$B14,IF(Setup2!$E$7=$A14,$B14,0))))))</f>
        <v>0</v>
      </c>
      <c r="H14" s="1" t="s">
        <v>59</v>
      </c>
      <c r="I14" s="15">
        <f>SUM(F22:F25)</f>
        <v>0.15</v>
      </c>
      <c r="J14" s="15">
        <f>SUM(G22:G25)</f>
        <v>0.15</v>
      </c>
      <c r="L14" s="12" t="s">
        <v>133</v>
      </c>
    </row>
    <row r="15" spans="1:12" ht="12.75">
      <c r="A15" s="12" t="str">
        <f>L7</f>
        <v>CHR2</v>
      </c>
      <c r="B15">
        <v>16</v>
      </c>
      <c r="C15" s="12" t="s">
        <v>120</v>
      </c>
      <c r="D15" s="12" t="s">
        <v>281</v>
      </c>
      <c r="F15" s="12">
        <f>IF(Setup1!$E$2=A15,B15,IF(Setup1!$E$3=A15,B15,IF(Setup1!$E$4=A15,B15,IF(Setup1!$E$5=A15,B15,IF(Setup1!$E$6=A15,B15,IF(Setup1!$E$7=A15,B15,0))))))</f>
        <v>0</v>
      </c>
      <c r="G15" s="12">
        <f>IF(Setup2!$E$2=$A15,$B15,IF(Setup2!$E$3=$A15,$B15,IF(Setup2!$E$4=$A15,$B15,IF(Setup2!$E$5=$A15,$B15,IF(Setup2!$E$6=$A15,$B15,IF(Setup2!$E$7=$A15,$B15,0))))))</f>
        <v>0</v>
      </c>
      <c r="J15" s="1"/>
      <c r="L15" s="12" t="s">
        <v>157</v>
      </c>
    </row>
    <row r="16" spans="1:12" ht="12.75">
      <c r="A16" s="12" t="str">
        <f>$L$10</f>
        <v>Ecliptic Growl</v>
      </c>
      <c r="B16">
        <v>4</v>
      </c>
      <c r="C16" s="12" t="s">
        <v>114</v>
      </c>
      <c r="D16" s="12" t="s">
        <v>281</v>
      </c>
      <c r="E16" s="12" t="s">
        <v>389</v>
      </c>
      <c r="F16" s="12">
        <f>IF(Setup1!$E$2=A16,B16,IF(Setup1!$E$3=A16,B16,IF(Setup1!$E$4=A16,B16,IF(Setup1!$E$5=A16,B16,IF(Setup1!$E$6=A16,B16,IF(Setup1!$E$7=A16,B16,0))))))</f>
        <v>0</v>
      </c>
      <c r="G16" s="12">
        <f>IF(Setup2!$E$2=$A16,$B16,IF(Setup2!$E$3=$A16,$B16,IF(Setup2!$E$4=$A16,$B16,IF(Setup2!$E$5=$A16,$B16,IF(Setup2!$E$6=$A16,$B16,IF(Setup2!$E$7=$A16,$B16,0))))))</f>
        <v>0</v>
      </c>
      <c r="L16" s="12" t="s">
        <v>153</v>
      </c>
    </row>
    <row r="17" spans="1:12" ht="12.75">
      <c r="A17" s="12" t="str">
        <f>L26</f>
        <v>RogueRoll</v>
      </c>
      <c r="B17" s="15">
        <v>0.12</v>
      </c>
      <c r="C17" s="18" t="s">
        <v>124</v>
      </c>
      <c r="D17" s="12" t="s">
        <v>166</v>
      </c>
      <c r="E17" s="12" t="s">
        <v>165</v>
      </c>
      <c r="F17" s="18">
        <f>IF(Setup1!$E$2=A17,B17,IF(Setup1!$E$3=A17,B17,IF(Setup1!$E$4=A17,B17,IF(Setup1!$E$5=A17,B17,IF(Setup1!$E$6=A17,B17,IF(Setup1!$E$7=A17,B17,0))))))</f>
        <v>0</v>
      </c>
      <c r="G17" s="18">
        <f>IF(Setup2!$E$2=$A17,$B17,IF(Setup2!$E$3=$A17,$B17,IF(Setup2!$E$4=$A17,$B17,IF(Setup2!$E$5=$A17,$B17,IF(Setup2!$E$6=$A17,$B17,IF(Setup2!$E$7=$A17,$B17,0))))))</f>
        <v>0</v>
      </c>
      <c r="L17" s="12" t="s">
        <v>154</v>
      </c>
    </row>
    <row r="18" spans="1:12" ht="12.75">
      <c r="A18" s="12" t="str">
        <f>L8</f>
        <v>DEX1</v>
      </c>
      <c r="B18">
        <v>10</v>
      </c>
      <c r="C18" s="12" t="s">
        <v>120</v>
      </c>
      <c r="D18" s="12" t="s">
        <v>276</v>
      </c>
      <c r="F18" s="12">
        <f>IF(Setup1!$E$2=A18,B18,IF(Setup1!$E$3=A18,B18,IF(Setup1!$E$4=A18,B18,IF(Setup1!$E$5=A18,B18,IF(Setup1!$E$6=A18,B18,IF(Setup1!$E$7=A18,B18,0))))))</f>
        <v>0</v>
      </c>
      <c r="G18" s="12">
        <f>IF(Setup2!$E$2=$A18,$B18,IF(Setup2!$E$3=$A18,$B18,IF(Setup2!$E$4=$A18,$B18,IF(Setup2!$E$5=$A18,$B18,IF(Setup2!$E$6=$A18,$B18,IF(Setup2!$E$7=$A18,$B18,0))))))</f>
        <v>0</v>
      </c>
      <c r="L18" s="12" t="s">
        <v>140</v>
      </c>
    </row>
    <row r="19" spans="1:12" ht="12.75">
      <c r="A19" s="12" t="str">
        <f>L9</f>
        <v>DEX2</v>
      </c>
      <c r="B19">
        <v>16</v>
      </c>
      <c r="C19" s="12" t="s">
        <v>120</v>
      </c>
      <c r="D19" s="12" t="s">
        <v>276</v>
      </c>
      <c r="F19" s="12">
        <f>IF(Setup1!$E$2=A19,B19,IF(Setup1!$E$3=A19,B19,IF(Setup1!$E$4=A19,B19,IF(Setup1!$E$5=A19,B19,IF(Setup1!$E$6=A19,B19,IF(Setup1!$E$7=A19,B19,0))))))</f>
        <v>0</v>
      </c>
      <c r="G19" s="12">
        <f>IF(Setup2!$E$2=$A19,$B19,IF(Setup2!$E$3=$A19,$B19,IF(Setup2!$E$4=$A19,$B19,IF(Setup2!$E$5=$A19,$B19,IF(Setup2!$E$6=$A19,$B19,IF(Setup2!$E$7=$A19,$B19,0))))))</f>
        <v>0</v>
      </c>
      <c r="L19" s="12" t="s">
        <v>141</v>
      </c>
    </row>
    <row r="20" spans="1:12" ht="12.75">
      <c r="A20" s="12" t="str">
        <f>$L$10</f>
        <v>Ecliptic Growl</v>
      </c>
      <c r="B20">
        <v>4</v>
      </c>
      <c r="C20" s="12" t="s">
        <v>114</v>
      </c>
      <c r="D20" s="12" t="s">
        <v>276</v>
      </c>
      <c r="E20" s="12" t="s">
        <v>389</v>
      </c>
      <c r="F20" s="12">
        <f>IF(Setup1!$E$2=A20,B20,IF(Setup1!$E$3=A20,B20,IF(Setup1!$E$4=A20,B20,IF(Setup1!$E$5=A20,B20,IF(Setup1!$E$6=A20,B20,IF(Setup1!$E$7=A20,B20,0))))))</f>
        <v>0</v>
      </c>
      <c r="G20" s="12">
        <f>IF(Setup2!$E$2=$A20,$B20,IF(Setup2!$E$3=$A20,$B20,IF(Setup2!$E$4=$A20,$B20,IF(Setup2!$E$5=$A20,$B20,IF(Setup2!$E$6=$A20,$B20,IF(Setup2!$E$7=$A20,$B20,0))))))</f>
        <v>0</v>
      </c>
      <c r="L20" s="12" t="s">
        <v>134</v>
      </c>
    </row>
    <row r="21" spans="1:12" ht="12.75">
      <c r="A21" s="12" t="str">
        <f>L12</f>
        <v>FighterRoll</v>
      </c>
      <c r="B21" s="15">
        <v>0.12</v>
      </c>
      <c r="C21" s="18" t="s">
        <v>124</v>
      </c>
      <c r="D21" s="12" t="s">
        <v>55</v>
      </c>
      <c r="E21" s="12" t="s">
        <v>165</v>
      </c>
      <c r="F21" s="18">
        <f>IF(Setup1!$E$2=A21,B21,IF(Setup1!$E$3=A21,B21,IF(Setup1!$E$4=A21,B21,IF(Setup1!$E$5=A21,B21,IF(Setup1!$E$6=A21,B21,IF(Setup1!$E$7=A21,B21,0))))))</f>
        <v>0</v>
      </c>
      <c r="G21" s="18">
        <f>IF(Setup2!$E$2=$A21,$B21,IF(Setup2!$E$3=$A21,$B21,IF(Setup2!$E$4=$A21,$B21,IF(Setup2!$E$5=$A21,$B21,IF(Setup2!$E$6=$A21,$B21,IF(Setup2!$E$7=$A21,$B21,0))))))</f>
        <v>0</v>
      </c>
      <c r="L21" s="12" t="s">
        <v>135</v>
      </c>
    </row>
    <row r="22" spans="1:12" ht="12.75">
      <c r="A22" s="14" t="str">
        <f>L2</f>
        <v>AdvMarch</v>
      </c>
      <c r="B22" s="15">
        <v>0.09</v>
      </c>
      <c r="C22" s="18" t="s">
        <v>120</v>
      </c>
      <c r="D22" s="12" t="s">
        <v>142</v>
      </c>
      <c r="F22" s="18">
        <f>IF(Setup1!$E$2=A22,B22,IF(Setup1!$E$3=A22,B22,IF(Setup1!$E$4=A22,B22,IF(Setup1!$E$5=A22,B22,IF(Setup1!$E$6=A22,B22,IF(Setup1!$E$7=A22,B22,0))))))</f>
        <v>0</v>
      </c>
      <c r="G22" s="18">
        <f>IF(Setup2!$E$2=$A22,$B22,IF(Setup2!$E$3=$A22,$B22,IF(Setup2!$E$4=$A22,$B22,IF(Setup2!$E$5=$A22,$B22,IF(Setup2!$E$6=$A22,$B22,IF(Setup2!$E$7=$A22,$B22,0))))))</f>
        <v>0</v>
      </c>
      <c r="L22" s="12" t="s">
        <v>136</v>
      </c>
    </row>
    <row r="23" spans="1:12" ht="12.75">
      <c r="A23" s="12" t="str">
        <f>L13</f>
        <v>Haste</v>
      </c>
      <c r="B23" s="15">
        <v>0.15</v>
      </c>
      <c r="C23" s="18" t="s">
        <v>269</v>
      </c>
      <c r="D23" s="12" t="s">
        <v>142</v>
      </c>
      <c r="F23" s="18">
        <f>IF(Setup1!$E$2=A23,B23,IF(Setup1!$E$3=A23,B23,IF(Setup1!$E$4=A23,B23,IF(Setup1!$E$5=A23,B23,IF(Setup1!$E$6=A23,B23,IF(Setup1!$E$7=A23,B23,0))))))</f>
        <v>0.15</v>
      </c>
      <c r="G23" s="18">
        <f>IF(Setup2!$E$2=$A23,$B23,IF(Setup2!$E$3=$A23,$B23,IF(Setup2!$E$4=$A23,$B23,IF(Setup2!$E$5=$A23,$B23,IF(Setup2!$E$6=$A23,$B23,IF(Setup2!$E$7=$A23,$B23,0))))))</f>
        <v>0.15</v>
      </c>
      <c r="L23" s="12" t="s">
        <v>137</v>
      </c>
    </row>
    <row r="24" spans="1:12" ht="12.75">
      <c r="A24" s="12" t="str">
        <f>L14</f>
        <v>Haste Samba</v>
      </c>
      <c r="B24" s="13">
        <v>0.05</v>
      </c>
      <c r="C24" s="13" t="s">
        <v>121</v>
      </c>
      <c r="D24" s="12" t="s">
        <v>142</v>
      </c>
      <c r="F24" s="18">
        <f>IF(Setup1!$E$2=A24,B24,IF(Setup1!$E$3=A24,B24,IF(Setup1!$E$4=A24,B24,IF(Setup1!$E$5=A24,B24,IF(Setup1!$E$6=A24,B24,IF(Setup1!$E$7=A24,B24,0))))))</f>
        <v>0</v>
      </c>
      <c r="G24" s="18">
        <f>IF(Setup2!$E$2=$A24,$B24,IF(Setup2!$E$3=$A24,$B24,IF(Setup2!$E$4=$A24,$B24,IF(Setup2!$E$5=$A24,$B24,IF(Setup2!$E$6=$A24,$B24,IF(Setup2!$E$7=$A24,$B24,0))))))</f>
        <v>0</v>
      </c>
      <c r="L24" s="12" t="s">
        <v>151</v>
      </c>
    </row>
    <row r="25" spans="1:12" ht="12.75">
      <c r="A25" s="14" t="str">
        <f>L30</f>
        <v>VictMarch</v>
      </c>
      <c r="B25" s="15">
        <v>0.11</v>
      </c>
      <c r="C25" s="18" t="s">
        <v>120</v>
      </c>
      <c r="D25" s="12" t="s">
        <v>142</v>
      </c>
      <c r="F25" s="18">
        <f>IF(Setup1!$E$2=A25,B25,IF(Setup1!$E$3=A25,B25,IF(Setup1!$E$4=A25,B25,IF(Setup1!$E$5=A25,B25,IF(Setup1!$E$6=A25,B25,IF(Setup1!$E$7=A25,B25,0))))))</f>
        <v>0</v>
      </c>
      <c r="G25" s="18">
        <f>IF(Setup2!$E$2=$A25,$B25,IF(Setup2!$E$3=$A25,$B25,IF(Setup2!$E$4=$A25,$B25,IF(Setup2!$E$5=$A25,$B25,IF(Setup2!$E$6=$A25,$B25,IF(Setup2!$E$7=$A25,$B25,0))))))</f>
        <v>0</v>
      </c>
      <c r="L25" s="12" t="s">
        <v>152</v>
      </c>
    </row>
    <row r="26" spans="1:12" ht="12.75">
      <c r="A26" s="12" t="str">
        <f>$L$10</f>
        <v>Ecliptic Growl</v>
      </c>
      <c r="B26">
        <v>4</v>
      </c>
      <c r="C26" s="12" t="s">
        <v>114</v>
      </c>
      <c r="D26" s="12" t="s">
        <v>280</v>
      </c>
      <c r="E26" s="12" t="s">
        <v>389</v>
      </c>
      <c r="F26" s="12">
        <f>IF(Setup1!$E$2=A26,B26,IF(Setup1!$E$3=A26,B26,IF(Setup1!$E$4=A26,B26,IF(Setup1!$E$5=A26,B26,IF(Setup1!$E$6=A26,B26,IF(Setup1!$E$7=A26,B26,0))))))</f>
        <v>0</v>
      </c>
      <c r="G26" s="12">
        <f>IF(Setup2!$E$2=$A26,$B26,IF(Setup2!$E$3=$A26,$B26,IF(Setup2!$E$4=$A26,$B26,IF(Setup2!$E$5=$A26,$B26,IF(Setup2!$E$6=$A26,$B26,IF(Setup2!$E$7=$A26,$B26,0))))))</f>
        <v>0</v>
      </c>
      <c r="L26" s="12" t="s">
        <v>167</v>
      </c>
    </row>
    <row r="27" spans="1:12" ht="12.75">
      <c r="A27" s="12" t="str">
        <f>L16</f>
        <v>INT1</v>
      </c>
      <c r="B27">
        <v>10</v>
      </c>
      <c r="C27" s="12" t="s">
        <v>120</v>
      </c>
      <c r="D27" s="12" t="s">
        <v>280</v>
      </c>
      <c r="F27" s="12">
        <f>IF(Setup1!$E$2=A27,B27,IF(Setup1!$E$3=A27,B27,IF(Setup1!$E$4=A27,B27,IF(Setup1!$E$5=A27,B27,IF(Setup1!$E$6=A27,B27,IF(Setup1!$E$7=A27,B27,0))))))</f>
        <v>0</v>
      </c>
      <c r="G27" s="12">
        <f>IF(Setup2!$E$2=$A27,$B27,IF(Setup2!$E$3=$A27,$B27,IF(Setup2!$E$4=$A27,$B27,IF(Setup2!$E$5=$A27,$B27,IF(Setup2!$E$6=$A27,$B27,IF(Setup2!$E$7=$A27,$B27,0))))))</f>
        <v>0</v>
      </c>
      <c r="L27" s="12" t="s">
        <v>162</v>
      </c>
    </row>
    <row r="28" spans="1:12" ht="12.75">
      <c r="A28" s="12" t="str">
        <f>L17</f>
        <v>INT2</v>
      </c>
      <c r="B28">
        <v>16</v>
      </c>
      <c r="C28" s="12" t="s">
        <v>120</v>
      </c>
      <c r="D28" s="12" t="s">
        <v>280</v>
      </c>
      <c r="F28" s="12">
        <f>IF(Setup1!$E$2=A28,B28,IF(Setup1!$E$3=A28,B28,IF(Setup1!$E$4=A28,B28,IF(Setup1!$E$5=A28,B28,IF(Setup1!$E$6=A28,B28,IF(Setup1!$E$7=A28,B28,0))))))</f>
        <v>0</v>
      </c>
      <c r="G28" s="12">
        <f>IF(Setup2!$E$2=$A28,$B28,IF(Setup2!$E$3=$A28,$B28,IF(Setup2!$E$4=$A28,$B28,IF(Setup2!$E$5=$A28,$B28,IF(Setup2!$E$6=$A28,$B28,IF(Setup2!$E$7=$A28,$B28,0))))))</f>
        <v>0</v>
      </c>
      <c r="L28" s="12" t="s">
        <v>143</v>
      </c>
    </row>
    <row r="29" spans="1:12" ht="12.75">
      <c r="A29" s="12" t="str">
        <f>$L$10</f>
        <v>Ecliptic Growl</v>
      </c>
      <c r="B29">
        <v>4</v>
      </c>
      <c r="C29" s="12" t="s">
        <v>114</v>
      </c>
      <c r="D29" s="12" t="s">
        <v>279</v>
      </c>
      <c r="E29" s="12" t="s">
        <v>389</v>
      </c>
      <c r="F29" s="12">
        <f>IF(Setup1!$E$2=A29,B29,IF(Setup1!$E$3=A29,B29,IF(Setup1!$E$4=A29,B29,IF(Setup1!$E$5=A29,B29,IF(Setup1!$E$6=A29,B29,IF(Setup1!$E$7=A29,B29,0))))))</f>
        <v>0</v>
      </c>
      <c r="G29" s="12">
        <f>IF(Setup2!$E$2=$A29,$B29,IF(Setup2!$E$3=$A29,$B29,IF(Setup2!$E$4=$A29,$B29,IF(Setup2!$E$5=$A29,$B29,IF(Setup2!$E$6=$A29,$B29,IF(Setup2!$E$7=$A29,$B29,0))))))</f>
        <v>0</v>
      </c>
      <c r="L29" s="12" t="s">
        <v>144</v>
      </c>
    </row>
    <row r="30" spans="1:12" ht="12.75">
      <c r="A30" s="12" t="str">
        <f>L24</f>
        <v>MND1</v>
      </c>
      <c r="B30">
        <v>10</v>
      </c>
      <c r="C30" s="12" t="s">
        <v>120</v>
      </c>
      <c r="D30" s="12" t="s">
        <v>279</v>
      </c>
      <c r="F30" s="12">
        <f>IF(Setup1!$E$2=A30,B30,IF(Setup1!$E$3=A30,B30,IF(Setup1!$E$4=A30,B30,IF(Setup1!$E$5=A30,B30,IF(Setup1!$E$6=A30,B30,IF(Setup1!$E$7=A30,B30,0))))))</f>
        <v>0</v>
      </c>
      <c r="G30" s="12">
        <f>IF(Setup2!$E$2=$A30,$B30,IF(Setup2!$E$3=$A30,$B30,IF(Setup2!$E$4=$A30,$B30,IF(Setup2!$E$5=$A30,$B30,IF(Setup2!$E$6=$A30,$B30,IF(Setup2!$E$7=$A30,$B30,0))))))</f>
        <v>0</v>
      </c>
      <c r="L30" s="14" t="s">
        <v>271</v>
      </c>
    </row>
    <row r="31" spans="1:12" ht="12.75">
      <c r="A31" s="12" t="str">
        <f>L25</f>
        <v>MND2</v>
      </c>
      <c r="B31">
        <v>16</v>
      </c>
      <c r="C31" s="12" t="s">
        <v>120</v>
      </c>
      <c r="D31" s="12" t="s">
        <v>279</v>
      </c>
      <c r="F31" s="12">
        <f>IF(Setup1!$E$2=A31,B31,IF(Setup1!$E$3=A31,B31,IF(Setup1!$E$4=A31,B31,IF(Setup1!$E$5=A31,B31,IF(Setup1!$E$6=A31,B31,IF(Setup1!$E$7=A31,B31,0))))))</f>
        <v>0</v>
      </c>
      <c r="G31" s="12">
        <f>IF(Setup2!$E$2=$A31,$B31,IF(Setup2!$E$3=$A31,$B31,IF(Setup2!$E$4=$A31,$B31,IF(Setup2!$E$5=$A31,$B31,IF(Setup2!$E$6=$A31,$B31,IF(Setup2!$E$7=$A31,$B31,0))))))</f>
        <v>0</v>
      </c>
      <c r="L31" s="12" t="s">
        <v>149</v>
      </c>
    </row>
    <row r="32" spans="1:12" ht="12.75">
      <c r="A32" s="12" t="str">
        <f>L27</f>
        <v>SamuraiRoll</v>
      </c>
      <c r="B32" s="15">
        <v>0.32</v>
      </c>
      <c r="C32" s="18" t="s">
        <v>124</v>
      </c>
      <c r="D32" s="12" t="s">
        <v>57</v>
      </c>
      <c r="E32" s="12" t="s">
        <v>164</v>
      </c>
      <c r="F32" s="18">
        <f>IF(Setup1!$E$2=A32,B32,IF(Setup1!$E$3=A32,B32,IF(Setup1!$E$4=A32,B32,IF(Setup1!$E$5=A32,B32,IF(Setup1!$E$6=A32,B32,IF(Setup1!$E$7=A32,B32,0))))))</f>
        <v>0</v>
      </c>
      <c r="G32" s="18">
        <f>IF(Setup2!$E$2=$A32,$B32,IF(Setup2!$E$3=$A32,$B32,IF(Setup2!$E$4=$A32,$B32,IF(Setup2!$E$5=$A32,$B32,IF(Setup2!$E$6=$A32,$B32,IF(Setup2!$E$7=$A32,$B32,0))))))</f>
        <v>0</v>
      </c>
      <c r="L32" s="12" t="s">
        <v>150</v>
      </c>
    </row>
    <row r="33" spans="1:7" ht="12.75">
      <c r="A33" s="12" t="str">
        <f>$L$10</f>
        <v>Ecliptic Growl</v>
      </c>
      <c r="B33">
        <v>4</v>
      </c>
      <c r="C33" s="12" t="s">
        <v>114</v>
      </c>
      <c r="D33" s="12" t="s">
        <v>275</v>
      </c>
      <c r="E33" s="12" t="s">
        <v>389</v>
      </c>
      <c r="F33" s="12">
        <f>IF(Setup1!$E$2=A33,B33,IF(Setup1!$E$3=A33,B33,IF(Setup1!$E$4=A33,B33,IF(Setup1!$E$5=A33,B33,IF(Setup1!$E$6=A33,B33,IF(Setup1!$E$7=A33,B33,0))))))</f>
        <v>0</v>
      </c>
      <c r="G33" s="12">
        <f>IF(Setup2!$E$2=$A33,$B33,IF(Setup2!$E$3=$A33,$B33,IF(Setup2!$E$4=$A33,$B33,IF(Setup2!$E$5=$A33,$B33,IF(Setup2!$E$6=$A33,$B33,IF(Setup2!$E$7=$A33,$B33,0))))))</f>
        <v>0</v>
      </c>
    </row>
    <row r="34" spans="1:7" ht="12.75">
      <c r="A34" s="12" t="str">
        <f>L28</f>
        <v>STR1</v>
      </c>
      <c r="B34">
        <v>10</v>
      </c>
      <c r="C34" s="12" t="s">
        <v>120</v>
      </c>
      <c r="D34" s="12" t="s">
        <v>275</v>
      </c>
      <c r="F34" s="12">
        <f>IF(Setup1!$E$2=A34,B34,IF(Setup1!$E$3=A34,B34,IF(Setup1!$E$4=A34,B34,IF(Setup1!$E$5=A34,B34,IF(Setup1!$E$6=A34,B34,IF(Setup1!$E$7=A34,B34,0))))))</f>
        <v>0</v>
      </c>
      <c r="G34" s="12">
        <f>IF(Setup2!$E$2=$A34,$B34,IF(Setup2!$E$3=$A34,$B34,IF(Setup2!$E$4=$A34,$B34,IF(Setup2!$E$5=$A34,$B34,IF(Setup2!$E$6=$A34,$B34,IF(Setup2!$E$7=$A34,$B34,0))))))</f>
        <v>0</v>
      </c>
    </row>
    <row r="35" spans="1:7" ht="12.75">
      <c r="A35" s="12" t="str">
        <f>L29</f>
        <v>STR2</v>
      </c>
      <c r="B35">
        <v>16</v>
      </c>
      <c r="C35" s="12" t="s">
        <v>120</v>
      </c>
      <c r="D35" s="12" t="s">
        <v>275</v>
      </c>
      <c r="F35" s="12">
        <f>IF(Setup1!$E$2=A35,B35,IF(Setup1!$E$3=A35,B35,IF(Setup1!$E$4=A35,B35,IF(Setup1!$E$5=A35,B35,IF(Setup1!$E$6=A35,B35,IF(Setup1!$E$7=A35,B35,0))))))</f>
        <v>0</v>
      </c>
      <c r="G35" s="12">
        <f>IF(Setup2!$E$2=$A35,$B35,IF(Setup2!$E$3=$A35,$B35,IF(Setup2!$E$4=$A35,$B35,IF(Setup2!$E$5=$A35,$B35,IF(Setup2!$E$6=$A35,$B35,IF(Setup2!$E$7=$A35,$B35,0))))))</f>
        <v>0</v>
      </c>
    </row>
    <row r="36" spans="1:7" ht="12.75">
      <c r="A36" s="12" t="str">
        <f>$L$10</f>
        <v>Ecliptic Growl</v>
      </c>
      <c r="B36">
        <v>4</v>
      </c>
      <c r="C36" s="12" t="s">
        <v>114</v>
      </c>
      <c r="D36" s="12" t="s">
        <v>278</v>
      </c>
      <c r="E36" s="12" t="s">
        <v>389</v>
      </c>
      <c r="F36" s="12">
        <f>IF(Setup1!$E$2=A36,B36,IF(Setup1!$E$3=A36,B36,IF(Setup1!$E$4=A36,B36,IF(Setup1!$E$5=A36,B36,IF(Setup1!$E$6=A36,B36,IF(Setup1!$E$7=A36,B36,0))))))</f>
        <v>0</v>
      </c>
      <c r="G36" s="12">
        <f>IF(Setup2!$E$2=$A36,$B36,IF(Setup2!$E$3=$A36,$B36,IF(Setup2!$E$4=$A36,$B36,IF(Setup2!$E$5=$A36,$B36,IF(Setup2!$E$6=$A36,$B36,IF(Setup2!$E$7=$A36,$B36,0))))))</f>
        <v>0</v>
      </c>
    </row>
    <row r="37" spans="1:7" ht="12.75">
      <c r="A37" s="12" t="str">
        <f>L31</f>
        <v>VIT1</v>
      </c>
      <c r="B37">
        <v>10</v>
      </c>
      <c r="C37" s="12" t="s">
        <v>120</v>
      </c>
      <c r="D37" s="12" t="s">
        <v>278</v>
      </c>
      <c r="F37" s="12">
        <f>IF(Setup1!$E$2=A37,B37,IF(Setup1!$E$3=A37,B37,IF(Setup1!$E$4=A37,B37,IF(Setup1!$E$5=A37,B37,IF(Setup1!$E$6=A37,B37,IF(Setup1!$E$7=A37,B37,0))))))</f>
        <v>0</v>
      </c>
      <c r="G37" s="12">
        <f>IF(Setup2!$E$2=$A37,$B37,IF(Setup2!$E$3=$A37,$B37,IF(Setup2!$E$4=$A37,$B37,IF(Setup2!$E$5=$A37,$B37,IF(Setup2!$E$6=$A37,$B37,IF(Setup2!$E$7=$A37,$B37,0))))))</f>
        <v>0</v>
      </c>
    </row>
    <row r="38" spans="1:7" ht="12.75">
      <c r="A38" s="12" t="str">
        <f>L32</f>
        <v>VIT2</v>
      </c>
      <c r="B38">
        <v>16</v>
      </c>
      <c r="C38" s="12" t="s">
        <v>120</v>
      </c>
      <c r="D38" s="12" t="s">
        <v>278</v>
      </c>
      <c r="F38" s="12">
        <f>IF(Setup1!$E$2=A38,B38,IF(Setup1!$E$3=A38,B38,IF(Setup1!$E$4=A38,B38,IF(Setup1!$E$5=A38,B38,IF(Setup1!$E$6=A38,B38,IF(Setup1!$E$7=A38,B38,0))))))</f>
        <v>0</v>
      </c>
      <c r="G38" s="12">
        <f>IF(Setup2!$E$2=$A38,$B38,IF(Setup2!$E$3=$A38,$B38,IF(Setup2!$E$4=$A38,$B38,IF(Setup2!$E$5=$A38,$B38,IF(Setup2!$E$6=$A38,$B38,IF(Setup2!$E$7=$A38,$B38,0))))))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26" sqref="B26"/>
    </sheetView>
  </sheetViews>
  <sheetFormatPr defaultColWidth="9.140625" defaultRowHeight="12.75"/>
  <cols>
    <col min="1" max="1" width="18.8515625" style="0" customWidth="1"/>
    <col min="2" max="2" width="19.8515625" style="0" customWidth="1"/>
    <col min="3" max="3" width="13.421875" style="0" customWidth="1"/>
  </cols>
  <sheetData>
    <row r="1" ht="12.75">
      <c r="A1" s="12" t="s">
        <v>128</v>
      </c>
    </row>
    <row r="2" spans="1:2" ht="12.75">
      <c r="A2" s="12" t="s">
        <v>129</v>
      </c>
      <c r="B2" s="12" t="s">
        <v>130</v>
      </c>
    </row>
    <row r="3" spans="1:2" ht="12.75">
      <c r="A3">
        <v>1</v>
      </c>
      <c r="B3">
        <v>8</v>
      </c>
    </row>
    <row r="4" spans="1:2" ht="12.75">
      <c r="A4">
        <v>2</v>
      </c>
      <c r="B4">
        <f>B3+4</f>
        <v>12</v>
      </c>
    </row>
    <row r="5" spans="1:2" ht="12.75">
      <c r="A5">
        <v>3</v>
      </c>
      <c r="B5">
        <f>B4+4</f>
        <v>16</v>
      </c>
    </row>
    <row r="6" spans="1:2" ht="12.75">
      <c r="A6">
        <v>4</v>
      </c>
      <c r="B6">
        <f>B5+4</f>
        <v>20</v>
      </c>
    </row>
    <row r="7" spans="1:2" ht="12.75">
      <c r="A7">
        <v>5</v>
      </c>
      <c r="B7">
        <f>B6+4</f>
        <v>24</v>
      </c>
    </row>
    <row r="8" spans="1:2" ht="12.75">
      <c r="A8" s="12" t="s">
        <v>131</v>
      </c>
      <c r="B8" s="12" t="s">
        <v>132</v>
      </c>
    </row>
    <row r="9" spans="1:2" ht="12.75">
      <c r="A9">
        <v>1</v>
      </c>
      <c r="B9" s="13">
        <v>0.1</v>
      </c>
    </row>
    <row r="10" spans="1:2" ht="12.75">
      <c r="A10">
        <v>2</v>
      </c>
      <c r="B10" s="13">
        <v>0.15</v>
      </c>
    </row>
    <row r="11" spans="1:2" ht="12.75">
      <c r="A11">
        <v>3</v>
      </c>
      <c r="B11" s="13">
        <v>0.2</v>
      </c>
    </row>
    <row r="12" spans="1:2" ht="12.75">
      <c r="A12">
        <v>4</v>
      </c>
      <c r="B12" s="13">
        <v>0.25</v>
      </c>
    </row>
    <row r="13" spans="1:2" ht="12.75">
      <c r="A13">
        <v>5</v>
      </c>
      <c r="B13" s="13">
        <v>0.3</v>
      </c>
    </row>
    <row r="15" ht="12.75">
      <c r="A15" s="12" t="s">
        <v>115</v>
      </c>
    </row>
    <row r="16" spans="1:2" ht="12.75">
      <c r="A16" s="12" t="s">
        <v>175</v>
      </c>
      <c r="B16" s="16">
        <f>51/256</f>
        <v>0.19921875</v>
      </c>
    </row>
    <row r="22" ht="12.75">
      <c r="A22" s="12" t="s">
        <v>205</v>
      </c>
    </row>
    <row r="23" spans="1:2" ht="12.75">
      <c r="A23" s="12" t="s">
        <v>206</v>
      </c>
      <c r="B23" s="17">
        <f>27/512</f>
        <v>0.052734375</v>
      </c>
    </row>
    <row r="24" spans="1:2" ht="12.75">
      <c r="A24" s="12" t="s">
        <v>207</v>
      </c>
      <c r="B24" s="17">
        <f>53/512</f>
        <v>0.103515625</v>
      </c>
    </row>
    <row r="25" spans="1:2" ht="12.75">
      <c r="A25" s="12" t="s">
        <v>208</v>
      </c>
      <c r="B25" s="17">
        <f>39/256</f>
        <v>0.15234375</v>
      </c>
    </row>
    <row r="26" spans="1:3" ht="12.75">
      <c r="A26" s="12" t="s">
        <v>209</v>
      </c>
      <c r="B26">
        <v>10</v>
      </c>
      <c r="C26" s="12" t="s">
        <v>210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6" sqref="C6"/>
    </sheetView>
  </sheetViews>
  <sheetFormatPr defaultColWidth="9.140625" defaultRowHeight="12.75"/>
  <cols>
    <col min="1" max="1" width="11.00390625" style="0" customWidth="1"/>
    <col min="2" max="2" width="9.00390625" style="0" customWidth="1"/>
    <col min="3" max="3" width="41.00390625" style="0" customWidth="1"/>
  </cols>
  <sheetData>
    <row r="1" spans="1:2" ht="15">
      <c r="A1" s="39" t="s">
        <v>372</v>
      </c>
      <c r="B1" s="39" t="s">
        <v>373</v>
      </c>
    </row>
    <row r="2" spans="1:3" ht="12.75">
      <c r="A2" s="12" t="s">
        <v>374</v>
      </c>
      <c r="B2" s="12" t="s">
        <v>375</v>
      </c>
      <c r="C2" s="12" t="s">
        <v>376</v>
      </c>
    </row>
    <row r="3" spans="1:3" ht="12.75">
      <c r="A3" s="12" t="s">
        <v>428</v>
      </c>
      <c r="B3" s="12" t="s">
        <v>403</v>
      </c>
      <c r="C3" s="12" t="s">
        <v>377</v>
      </c>
    </row>
    <row r="4" spans="1:3" ht="12.75">
      <c r="A4" t="s">
        <v>400</v>
      </c>
      <c r="B4" s="12" t="s">
        <v>401</v>
      </c>
      <c r="C4" s="12" t="s">
        <v>402</v>
      </c>
    </row>
    <row r="5" spans="1:3" ht="12.75">
      <c r="A5" s="12" t="s">
        <v>443</v>
      </c>
      <c r="B5" s="12" t="s">
        <v>444</v>
      </c>
      <c r="C5" s="12" t="s">
        <v>377</v>
      </c>
    </row>
    <row r="13" ht="12.75">
      <c r="C13" s="20" t="s">
        <v>378</v>
      </c>
    </row>
    <row r="14" ht="12.75">
      <c r="C14" t="s">
        <v>379</v>
      </c>
    </row>
    <row r="15" ht="12.75">
      <c r="C15" t="s">
        <v>380</v>
      </c>
    </row>
    <row r="16" spans="3:4" ht="12.75">
      <c r="C16" t="s">
        <v>381</v>
      </c>
      <c r="D16" s="12" t="s">
        <v>382</v>
      </c>
    </row>
    <row r="17" ht="12.75">
      <c r="C17" t="s">
        <v>429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workbookViewId="0" topLeftCell="A1">
      <selection activeCell="B3" sqref="B3"/>
    </sheetView>
  </sheetViews>
  <sheetFormatPr defaultColWidth="9.140625" defaultRowHeight="12.75"/>
  <cols>
    <col min="1" max="1" width="18.7109375" style="0" bestFit="1" customWidth="1"/>
    <col min="2" max="2" width="13.140625" style="0" bestFit="1" customWidth="1"/>
    <col min="3" max="3" width="16.140625" style="0" bestFit="1" customWidth="1"/>
    <col min="4" max="4" width="14.421875" style="0" bestFit="1" customWidth="1"/>
    <col min="5" max="5" width="12.00390625" style="0" bestFit="1" customWidth="1"/>
    <col min="6" max="6" width="15.00390625" style="0" bestFit="1" customWidth="1"/>
    <col min="7" max="7" width="10.8515625" style="0" bestFit="1" customWidth="1"/>
    <col min="8" max="8" width="13.421875" style="0" bestFit="1" customWidth="1"/>
    <col min="9" max="9" width="15.28125" style="0" bestFit="1" customWidth="1"/>
    <col min="10" max="10" width="9.00390625" style="0" bestFit="1" customWidth="1"/>
    <col min="11" max="11" width="16.00390625" style="0" bestFit="1" customWidth="1"/>
    <col min="12" max="12" width="8.57421875" style="0" bestFit="1" customWidth="1"/>
    <col min="13" max="13" width="7.421875" style="0" bestFit="1" customWidth="1"/>
    <col min="14" max="14" width="7.28125" style="0" bestFit="1" customWidth="1"/>
    <col min="15" max="15" width="9.8515625" style="0" bestFit="1" customWidth="1"/>
    <col min="16" max="16" width="6.57421875" style="0" bestFit="1" customWidth="1"/>
    <col min="17" max="17" width="8.28125" style="0" bestFit="1" customWidth="1"/>
    <col min="18" max="18" width="16.57421875" style="0" bestFit="1" customWidth="1"/>
    <col min="19" max="23" width="15.00390625" style="0" bestFit="1" customWidth="1"/>
  </cols>
  <sheetData>
    <row r="1" spans="1:23" s="36" customFormat="1" ht="27.75" customHeight="1">
      <c r="A1" s="34"/>
      <c r="B1" s="35" t="s">
        <v>0</v>
      </c>
      <c r="C1" s="35" t="s">
        <v>222</v>
      </c>
      <c r="D1" s="35" t="s">
        <v>241</v>
      </c>
      <c r="E1" s="35" t="s">
        <v>268</v>
      </c>
      <c r="F1" s="35" t="s">
        <v>1</v>
      </c>
      <c r="G1" s="35" t="s">
        <v>2</v>
      </c>
      <c r="H1" s="35" t="s">
        <v>295</v>
      </c>
      <c r="I1" s="35"/>
      <c r="J1" s="35" t="s">
        <v>3</v>
      </c>
      <c r="K1" s="35"/>
      <c r="L1" s="35" t="s">
        <v>101</v>
      </c>
      <c r="M1" s="34" t="s">
        <v>4</v>
      </c>
      <c r="N1" s="34" t="s">
        <v>102</v>
      </c>
      <c r="O1" s="34" t="s">
        <v>103</v>
      </c>
      <c r="P1" s="34" t="s">
        <v>195</v>
      </c>
      <c r="Q1" s="34" t="s">
        <v>100</v>
      </c>
      <c r="R1" s="34" t="s">
        <v>104</v>
      </c>
      <c r="S1" s="34"/>
      <c r="T1" s="34"/>
      <c r="U1" s="34"/>
      <c r="V1" s="34"/>
      <c r="W1" s="34"/>
    </row>
    <row r="2" spans="1:23" ht="12.75" customHeight="1">
      <c r="A2" s="1" t="s">
        <v>126</v>
      </c>
      <c r="B2" s="2" t="s">
        <v>115</v>
      </c>
      <c r="C2" s="1"/>
      <c r="D2" s="2" t="s">
        <v>261</v>
      </c>
      <c r="E2" s="2" t="s">
        <v>59</v>
      </c>
      <c r="F2" s="2" t="s">
        <v>359</v>
      </c>
      <c r="G2" s="1"/>
      <c r="H2" s="2" t="s">
        <v>292</v>
      </c>
      <c r="I2" s="1"/>
      <c r="J2" s="1"/>
      <c r="K2" s="1" t="s">
        <v>15</v>
      </c>
      <c r="L2" s="2">
        <v>1.25</v>
      </c>
      <c r="M2" s="2">
        <v>1.25</v>
      </c>
      <c r="N2" s="2">
        <v>1.25</v>
      </c>
      <c r="O2" s="2">
        <v>1.25</v>
      </c>
      <c r="P2" s="2">
        <v>1.25</v>
      </c>
      <c r="Q2" s="2">
        <v>1.25</v>
      </c>
      <c r="R2" s="1"/>
      <c r="S2" s="1"/>
      <c r="T2" s="1"/>
      <c r="U2" s="1"/>
      <c r="V2" s="1"/>
      <c r="W2" s="1"/>
    </row>
    <row r="3" spans="1:23" ht="12.75" customHeight="1">
      <c r="A3" s="1" t="s">
        <v>125</v>
      </c>
      <c r="B3" s="2" t="s">
        <v>105</v>
      </c>
      <c r="C3" s="1"/>
      <c r="D3" s="1"/>
      <c r="E3" s="2"/>
      <c r="F3" s="1"/>
      <c r="G3" s="1"/>
      <c r="H3" s="1"/>
      <c r="I3" s="1"/>
      <c r="J3" s="4">
        <f>FLOOR(((L3*L$9)+(M3*M$9)+(N3*N$9)+(O3*O$9)),1)</f>
        <v>119</v>
      </c>
      <c r="K3" s="1" t="s">
        <v>309</v>
      </c>
      <c r="L3" s="1">
        <f aca="true" t="shared" si="0" ref="L3:Q3">FLOOR((L$21*L$2),1)</f>
        <v>93</v>
      </c>
      <c r="M3" s="1">
        <f t="shared" si="0"/>
        <v>136</v>
      </c>
      <c r="N3" s="1">
        <f t="shared" si="0"/>
        <v>101</v>
      </c>
      <c r="O3" s="1">
        <f t="shared" si="0"/>
        <v>93</v>
      </c>
      <c r="P3" s="1">
        <f t="shared" si="0"/>
        <v>93</v>
      </c>
      <c r="Q3" s="1">
        <f t="shared" si="0"/>
        <v>93</v>
      </c>
      <c r="R3" s="1">
        <f>FLOOR(((L3*0.4)+(M3*0.5)+(Q3*0.1)),1)</f>
        <v>114</v>
      </c>
      <c r="S3" s="1"/>
      <c r="T3" s="1"/>
      <c r="U3" s="1"/>
      <c r="V3" s="1"/>
      <c r="W3" s="1"/>
    </row>
    <row r="4" spans="1:23" ht="12.75" customHeight="1">
      <c r="A4" s="1" t="s">
        <v>5</v>
      </c>
      <c r="B4" s="2">
        <v>75</v>
      </c>
      <c r="C4" s="2"/>
      <c r="D4" s="2"/>
      <c r="E4" s="2"/>
      <c r="F4" s="3">
        <f>HLOOKUP(MATCH($F$2,Enemies!$B$1:$Z$1),Enemies!$B$2:$Z$37,2,TRUE)</f>
        <v>82</v>
      </c>
      <c r="G4" s="3"/>
      <c r="H4" s="1" t="s">
        <v>6</v>
      </c>
      <c r="I4" s="1" t="s">
        <v>7</v>
      </c>
      <c r="J4" s="4">
        <f>FLOOR(((L4*L$9)+(M4*M$9)+(N4*N$9)+(O4*O$9)),1)</f>
        <v>245</v>
      </c>
      <c r="K4" s="1" t="s">
        <v>9</v>
      </c>
      <c r="L4" s="5">
        <f aca="true" t="shared" si="1" ref="L4:Q4">FLOOR((AVERAGE(L$22:L$23)*L$2),1)</f>
        <v>219</v>
      </c>
      <c r="M4" s="5">
        <f t="shared" si="1"/>
        <v>262</v>
      </c>
      <c r="N4" s="5">
        <f t="shared" si="1"/>
        <v>228</v>
      </c>
      <c r="O4" s="5">
        <f t="shared" si="1"/>
        <v>219</v>
      </c>
      <c r="P4" s="5">
        <f t="shared" si="1"/>
        <v>219</v>
      </c>
      <c r="Q4" s="5">
        <f t="shared" si="1"/>
        <v>219</v>
      </c>
      <c r="R4" s="1">
        <f>FLOOR(((L4*0.4)+(M4*0.5)+(Q4*0.1)),1)</f>
        <v>240</v>
      </c>
      <c r="S4" s="1"/>
      <c r="T4" s="1"/>
      <c r="U4" s="1"/>
      <c r="V4" s="1"/>
      <c r="W4" s="1"/>
    </row>
    <row r="5" spans="1:23" ht="12.75" customHeight="1">
      <c r="A5" s="1" t="s">
        <v>127</v>
      </c>
      <c r="B5" s="21">
        <f>FLOOR(B4/2,1)</f>
        <v>37</v>
      </c>
      <c r="C5" s="2"/>
      <c r="D5" s="2"/>
      <c r="E5" s="2"/>
      <c r="F5" s="2"/>
      <c r="G5" s="3"/>
      <c r="H5" s="1"/>
      <c r="I5" s="1"/>
      <c r="J5" s="4">
        <f>FLOOR(((L5*L$9)+(M5*M$9)+(N5*N$9)+(O5*O$9)),1)</f>
        <v>0</v>
      </c>
      <c r="K5" s="12" t="s">
        <v>310</v>
      </c>
      <c r="L5" s="1">
        <f aca="true" t="shared" si="2" ref="L5:Q5">IF($B$30="DW",FLOOR((L$59*L$2),1),0)</f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>FLOOR(((L5*0.4)+(M5*0.5)+(Q5*0.1)),1)</f>
        <v>0</v>
      </c>
      <c r="S5" s="1"/>
      <c r="T5" s="1"/>
      <c r="U5" s="1"/>
      <c r="V5" s="1"/>
      <c r="W5" s="1"/>
    </row>
    <row r="6" spans="1:23" ht="12.75" customHeight="1">
      <c r="A6" s="1" t="s">
        <v>8</v>
      </c>
      <c r="B6" s="2">
        <v>1454</v>
      </c>
      <c r="C6" s="2"/>
      <c r="D6" s="3">
        <f>HLOOKUP(MATCH($D$2,Food!$B$1:$Z$1),Food!$B$2:$Z$37,6,TRUE)</f>
        <v>20</v>
      </c>
      <c r="E6" s="2"/>
      <c r="F6" s="2"/>
      <c r="G6" s="3">
        <f>SUM(B6:E6)</f>
        <v>1474</v>
      </c>
      <c r="H6" s="1"/>
      <c r="I6" s="1"/>
      <c r="J6" s="4">
        <f>FLOOR(((L6*L$9)+(M6*M$9)+(N6*N$9)+(O6*O$9)),1)</f>
        <v>0</v>
      </c>
      <c r="K6" s="1" t="s">
        <v>313</v>
      </c>
      <c r="L6" s="5">
        <f aca="true" t="shared" si="3" ref="L6:Q6">IF($B$30="DW",FLOOR((AVERAGE(L$60:L$61)*L$2),1),0)</f>
        <v>0</v>
      </c>
      <c r="M6" s="5">
        <f t="shared" si="3"/>
        <v>0</v>
      </c>
      <c r="N6" s="5">
        <f t="shared" si="3"/>
        <v>0</v>
      </c>
      <c r="O6" s="5">
        <f t="shared" si="3"/>
        <v>0</v>
      </c>
      <c r="P6" s="5">
        <f t="shared" si="3"/>
        <v>0</v>
      </c>
      <c r="Q6" s="5">
        <f t="shared" si="3"/>
        <v>0</v>
      </c>
      <c r="R6" s="1">
        <f>FLOOR(((L6*0.4)+(M6*0.5)+(Q6*0.1)),1)</f>
        <v>0</v>
      </c>
      <c r="S6" s="1"/>
      <c r="T6" s="1"/>
      <c r="U6" s="1"/>
      <c r="V6" s="1"/>
      <c r="W6" s="1"/>
    </row>
    <row r="7" spans="1:23" ht="12.75" customHeight="1">
      <c r="A7" s="1" t="s">
        <v>10</v>
      </c>
      <c r="B7" s="2">
        <v>0</v>
      </c>
      <c r="C7" s="2"/>
      <c r="D7" s="3">
        <f>HLOOKUP(MATCH($D$2,Food!$B$1:$Z$1),Food!$B$2:$Z$37,7,TRUE)</f>
        <v>0</v>
      </c>
      <c r="E7" s="2"/>
      <c r="F7" s="2"/>
      <c r="G7" s="3"/>
      <c r="H7" s="3"/>
      <c r="I7" s="1"/>
      <c r="J7" s="4">
        <f>FLOOR(((L7*L$9)+(M7*M$9)+(N7*N$9)+(O7*O$9))*(1+$B$49),1)</f>
        <v>751</v>
      </c>
      <c r="K7" s="1" t="s">
        <v>11</v>
      </c>
      <c r="L7" s="1">
        <f aca="true" t="shared" si="4" ref="L7:Q7">IF($I$17&gt;0,FLOOR(((L$37+L$38)*L$2),1)+FLOOR(L$6*$I$21+L$5*(1-$I$21),1),FLOOR(((L$37+L$38)*L$2),1)+L$5)</f>
        <v>608</v>
      </c>
      <c r="M7" s="1">
        <f t="shared" si="4"/>
        <v>840</v>
      </c>
      <c r="N7" s="1">
        <f t="shared" si="4"/>
        <v>652</v>
      </c>
      <c r="O7" s="1">
        <f t="shared" si="4"/>
        <v>608</v>
      </c>
      <c r="P7" s="1">
        <f t="shared" si="4"/>
        <v>608</v>
      </c>
      <c r="Q7" s="1">
        <f t="shared" si="4"/>
        <v>608</v>
      </c>
      <c r="R7" s="1">
        <f>FLOOR(((L7*0.4)+(M7*0.5)+(Q7*0.1)),1)</f>
        <v>724</v>
      </c>
      <c r="S7" s="1"/>
      <c r="T7" s="1"/>
      <c r="U7" s="1"/>
      <c r="V7" s="1"/>
      <c r="W7" s="1"/>
    </row>
    <row r="8" spans="1:23" ht="12.75" customHeight="1">
      <c r="A8" s="1" t="s">
        <v>12</v>
      </c>
      <c r="B8" s="2">
        <v>79</v>
      </c>
      <c r="C8" s="2">
        <v>10</v>
      </c>
      <c r="D8" s="3">
        <f>HLOOKUP(MATCH($D$2,Food!$B$1:$Z$1),Food!$B$2:$Z$37,8,TRUE)</f>
        <v>5</v>
      </c>
      <c r="E8" s="3">
        <f>Buffs!J2</f>
        <v>0</v>
      </c>
      <c r="F8" s="2"/>
      <c r="G8" s="3">
        <f>SUM(B8:E8)+$B$25</f>
        <v>94</v>
      </c>
      <c r="H8" s="9">
        <f>VLOOKUP($A8,WS!$A:$AY,HLOOKUP($H$2,WS!$1:$2,2,FALSE)+1,FALSE)</f>
        <v>0.5</v>
      </c>
      <c r="I8" s="3">
        <f aca="true" t="shared" si="5" ref="I8:I14">FLOOR((H8*G8),1)</f>
        <v>47</v>
      </c>
      <c r="J8" s="1"/>
      <c r="K8" s="1" t="s">
        <v>13</v>
      </c>
      <c r="L8" s="1">
        <f aca="true" t="shared" si="6" ref="L8:Q8">FLOOR(($G$20+L$11),1)</f>
        <v>101</v>
      </c>
      <c r="M8" s="1">
        <f t="shared" si="6"/>
        <v>101</v>
      </c>
      <c r="N8" s="1">
        <f t="shared" si="6"/>
        <v>101</v>
      </c>
      <c r="O8" s="1">
        <f t="shared" si="6"/>
        <v>101</v>
      </c>
      <c r="P8" s="1">
        <f t="shared" si="6"/>
        <v>101</v>
      </c>
      <c r="Q8" s="1">
        <f t="shared" si="6"/>
        <v>101</v>
      </c>
      <c r="R8" s="1"/>
      <c r="S8" s="1"/>
      <c r="T8" s="1"/>
      <c r="U8" s="1"/>
      <c r="V8" s="1"/>
      <c r="W8" s="1"/>
    </row>
    <row r="9" spans="1:23" ht="12.75" customHeight="1">
      <c r="A9" s="1" t="s">
        <v>14</v>
      </c>
      <c r="B9" s="2">
        <v>59</v>
      </c>
      <c r="C9" s="2">
        <v>10</v>
      </c>
      <c r="D9" s="3">
        <f>HLOOKUP(MATCH($D$2,Food!$B$1:$Z$1),Food!$B$2:$Z$37,9,TRUE)</f>
        <v>6</v>
      </c>
      <c r="E9" s="3">
        <f>Buffs!J3</f>
        <v>0</v>
      </c>
      <c r="F9" s="2"/>
      <c r="G9" s="3">
        <f aca="true" t="shared" si="7" ref="G9:G14">SUM(B9:E9)</f>
        <v>75</v>
      </c>
      <c r="H9" s="9">
        <f>VLOOKUP($A9,WS!$A:$AY,HLOOKUP($H$2,WS!$1:$2,2,FALSE)+1,FALSE)</f>
        <v>0</v>
      </c>
      <c r="I9" s="3">
        <f t="shared" si="5"/>
        <v>0</v>
      </c>
      <c r="J9" s="1"/>
      <c r="K9" s="1" t="s">
        <v>311</v>
      </c>
      <c r="L9" s="24">
        <f>1-M9-N9-O9-P9</f>
        <v>0.30000000000000004</v>
      </c>
      <c r="M9" s="24">
        <f>IF($B$2="WAR",VLOOKUP($B$4,JA!$B$61:$G$63,6,TRUE),IF($B$3="WAR",VLOOKUP($B$5,JA!$B$61:$G$63,6,TRUE),0))</f>
        <v>0.6</v>
      </c>
      <c r="N9" s="24">
        <f>IF($B$2="WAR",VLOOKUP($B$4,JA!$B$64:$G$76,6,TRUE),IF($B$3="WAR",VLOOKUP($B$5,JA!$B$64:$G$76,6,TRUE),0))</f>
        <v>0.1</v>
      </c>
      <c r="O9" s="24">
        <f>IF($B$2="DRK",VLOOKUP($B$4,JA!$B$11:$I$13,6,TRUE),IF($B$3="DRK",VLOOKUP($B$5,JA!$B$11:$I$13,6,TRUE),0))</f>
        <v>0</v>
      </c>
      <c r="P9" s="24">
        <v>0</v>
      </c>
      <c r="Q9" s="24">
        <v>1</v>
      </c>
      <c r="R9" s="1"/>
      <c r="S9" s="1"/>
      <c r="T9" s="1"/>
      <c r="U9" s="1"/>
      <c r="V9" s="1"/>
      <c r="W9" s="1"/>
    </row>
    <row r="10" spans="1:23" ht="12.75" customHeight="1">
      <c r="A10" s="1" t="s">
        <v>16</v>
      </c>
      <c r="B10" s="2">
        <v>75</v>
      </c>
      <c r="C10" s="2">
        <v>1</v>
      </c>
      <c r="D10" s="3">
        <f>HLOOKUP(MATCH($D$2,Food!$B$1:$Z$1),Food!$B$2:$Z$37,10,TRUE)</f>
        <v>0</v>
      </c>
      <c r="E10" s="3">
        <f>Buffs!J4</f>
        <v>0</v>
      </c>
      <c r="F10" s="3">
        <f>HLOOKUP(MATCH($F$2,Enemies!$B$1:$Z$1),Enemies!$B$2:$Z$37,7,TRUE)</f>
        <v>67</v>
      </c>
      <c r="G10" s="3">
        <f t="shared" si="7"/>
        <v>76</v>
      </c>
      <c r="H10" s="9">
        <f>VLOOKUP($A10,WS!$A:$AY,HLOOKUP($H$2,WS!$1:$2,2,FALSE)+1,FALSE)</f>
        <v>0</v>
      </c>
      <c r="I10" s="3">
        <f t="shared" si="5"/>
        <v>0</v>
      </c>
      <c r="J10" s="1"/>
      <c r="K10" s="1" t="s">
        <v>17</v>
      </c>
      <c r="L10" s="1">
        <f>IF((($G$8-$F$10)&gt;'Reference Tables'!$D$13),'Reference Tables'!$D$13,IF((($G$8-$F$10)&lt;'Reference Tables'!$C$13),'Reference Tables'!$C$13,($G$8-$F$10)))</f>
        <v>27</v>
      </c>
      <c r="M10" s="1">
        <f>IF((($G$8-$F$10)&gt;'Reference Tables'!$D$13),'Reference Tables'!$D$13,IF((($G$8-$F$10)&lt;'Reference Tables'!$C$13),'Reference Tables'!$C$13,($G$8-$F$10)))</f>
        <v>27</v>
      </c>
      <c r="N10" s="1">
        <f>IF((($G$8-$F$10)&gt;'Reference Tables'!$D$13),'Reference Tables'!$D$13,IF((($G$8-$F$10)&lt;'Reference Tables'!$C$13),'Reference Tables'!$C$13,($G$8-$F$10)))</f>
        <v>27</v>
      </c>
      <c r="O10" s="1">
        <f>IF((($G$8-$F$10)&gt;'Reference Tables'!$D$13),'Reference Tables'!$D$13,IF((($G$8-$F$10)&lt;'Reference Tables'!$C$13),'Reference Tables'!$C$13,($G$8-$F$10)))</f>
        <v>27</v>
      </c>
      <c r="P10" s="1">
        <f>IF((($G$8-$F$10)&gt;'Reference Tables'!$D$13),'Reference Tables'!$D$13,IF((($G$8-$F$10)&lt;'Reference Tables'!$C$13),'Reference Tables'!$C$13,($G$8-$F$10)))</f>
        <v>27</v>
      </c>
      <c r="Q10" s="1">
        <f>IF((($G$8-$F$10)&gt;'Reference Tables'!$D$13),'Reference Tables'!$D$13,IF((($G$8-$F$10)&lt;'Reference Tables'!$C$13),'Reference Tables'!$C$13,($G$8-$F$10)))</f>
        <v>27</v>
      </c>
      <c r="R10" s="1"/>
      <c r="S10" s="1"/>
      <c r="T10" s="1"/>
      <c r="U10" s="1"/>
      <c r="V10" s="1"/>
      <c r="W10" s="1"/>
    </row>
    <row r="11" spans="1:23" ht="12.75" customHeight="1">
      <c r="A11" s="1" t="s">
        <v>18</v>
      </c>
      <c r="B11" s="2">
        <v>52</v>
      </c>
      <c r="C11" s="2">
        <v>1</v>
      </c>
      <c r="D11" s="3">
        <f>HLOOKUP(MATCH($D$2,Food!$B$1:$Z$1),Food!$B$2:$Z$37,11,TRUE)</f>
        <v>0</v>
      </c>
      <c r="E11" s="3">
        <f>Buffs!J5</f>
        <v>0</v>
      </c>
      <c r="F11" s="3">
        <f>HLOOKUP(MATCH($F$2,Enemies!$B$1:$Z$1),Enemies!$B$2:$Z$37,8,TRUE)</f>
        <v>67</v>
      </c>
      <c r="G11" s="3">
        <f t="shared" si="7"/>
        <v>53</v>
      </c>
      <c r="H11" s="9">
        <f>VLOOKUP($A11,WS!$A:$AY,HLOOKUP($H$2,WS!$1:$2,2,FALSE)+1,FALSE)</f>
        <v>0</v>
      </c>
      <c r="I11" s="3">
        <f t="shared" si="5"/>
        <v>0</v>
      </c>
      <c r="J11" s="1"/>
      <c r="K11" s="1" t="s">
        <v>19</v>
      </c>
      <c r="L11" s="1">
        <f aca="true" t="shared" si="8" ref="L11:Q11">FLOOR(L12/2,1)</f>
        <v>7</v>
      </c>
      <c r="M11" s="1">
        <f t="shared" si="8"/>
        <v>7</v>
      </c>
      <c r="N11" s="1">
        <f t="shared" si="8"/>
        <v>7</v>
      </c>
      <c r="O11" s="1">
        <f t="shared" si="8"/>
        <v>7</v>
      </c>
      <c r="P11" s="1">
        <f t="shared" si="8"/>
        <v>7</v>
      </c>
      <c r="Q11" s="1">
        <f t="shared" si="8"/>
        <v>7</v>
      </c>
      <c r="R11" s="1"/>
      <c r="S11" s="1"/>
      <c r="T11" s="1"/>
      <c r="U11" s="1"/>
      <c r="V11" s="1"/>
      <c r="W11" s="1"/>
    </row>
    <row r="12" spans="1:23" ht="12.75" customHeight="1">
      <c r="A12" s="1" t="s">
        <v>20</v>
      </c>
      <c r="B12" s="2">
        <v>46</v>
      </c>
      <c r="C12" s="2">
        <v>1</v>
      </c>
      <c r="D12" s="3">
        <f>HLOOKUP(MATCH($D$2,Food!$B$1:$Z$1),Food!$B$2:$Z$37,12,TRUE)</f>
        <v>0</v>
      </c>
      <c r="E12" s="3">
        <f>Buffs!J6</f>
        <v>0</v>
      </c>
      <c r="F12" s="2"/>
      <c r="G12" s="3">
        <f t="shared" si="7"/>
        <v>47</v>
      </c>
      <c r="H12" s="9">
        <f>VLOOKUP($A12,WS!$A:$AY,HLOOKUP($H$2,WS!$1:$2,2,FALSE)+1,FALSE)</f>
        <v>0</v>
      </c>
      <c r="I12" s="3">
        <f t="shared" si="5"/>
        <v>0</v>
      </c>
      <c r="J12" s="1"/>
      <c r="K12" s="1" t="s">
        <v>21</v>
      </c>
      <c r="L12" s="1">
        <f>FLOOR(VLOOKUP(L10,'Reference Tables'!$A$3:$C$10,3,TRUE),1)</f>
        <v>15</v>
      </c>
      <c r="M12" s="1">
        <f>FLOOR(VLOOKUP(M10,'Reference Tables'!$A$3:$C$10,3,TRUE),1)</f>
        <v>15</v>
      </c>
      <c r="N12" s="1">
        <f>FLOOR(VLOOKUP(N10,'Reference Tables'!$A$3:$C$10,3,TRUE),1)</f>
        <v>15</v>
      </c>
      <c r="O12" s="1">
        <f>FLOOR(VLOOKUP(O10,'Reference Tables'!$A$3:$C$10,3,TRUE),1)</f>
        <v>15</v>
      </c>
      <c r="P12" s="1">
        <f>FLOOR(VLOOKUP(P10,'Reference Tables'!$A$3:$C$10,3,TRUE),1)</f>
        <v>15</v>
      </c>
      <c r="Q12" s="1">
        <f>FLOOR(VLOOKUP(Q10,'Reference Tables'!$A$3:$C$10,3,TRUE),1)</f>
        <v>15</v>
      </c>
      <c r="R12" s="1"/>
      <c r="S12" s="1"/>
      <c r="T12" s="1"/>
      <c r="U12" s="1"/>
      <c r="V12" s="1"/>
      <c r="W12" s="1"/>
    </row>
    <row r="13" spans="1:23" ht="12.75" customHeight="1">
      <c r="A13" s="1" t="s">
        <v>22</v>
      </c>
      <c r="B13" s="2">
        <v>68</v>
      </c>
      <c r="C13" s="2">
        <v>1</v>
      </c>
      <c r="D13" s="3">
        <f>HLOOKUP(MATCH($D$2,Food!$B$1:$Z$1),Food!$B$2:$Z$37,13,TRUE)</f>
        <v>0</v>
      </c>
      <c r="E13" s="3">
        <f>Buffs!J7</f>
        <v>0</v>
      </c>
      <c r="F13" s="2"/>
      <c r="G13" s="3">
        <f t="shared" si="7"/>
        <v>69</v>
      </c>
      <c r="H13" s="9">
        <f>VLOOKUP($A13,WS!$A:$AY,HLOOKUP($H$2,WS!$1:$2,2,FALSE)+1,FALSE)</f>
        <v>0</v>
      </c>
      <c r="I13" s="3">
        <f t="shared" si="5"/>
        <v>0</v>
      </c>
      <c r="J13" s="1"/>
      <c r="K13" s="1" t="s">
        <v>23</v>
      </c>
      <c r="L13" s="1">
        <f>FLOOR(($G$16/$F$18),0.01)</f>
        <v>1.17</v>
      </c>
      <c r="M13" s="1">
        <f>FLOOR(($G$26/$F$18),0.01)</f>
        <v>1.46</v>
      </c>
      <c r="N13" s="1">
        <f>FLOOR(($G$40/$F$18),0.01)</f>
        <v>1.23</v>
      </c>
      <c r="O13" s="1">
        <f>FLOOR(($G$41/$F$18),0.01)</f>
        <v>1.17</v>
      </c>
      <c r="P13" s="1">
        <f>FLOOR(($G$42/$F$18),0.01)</f>
        <v>1.17</v>
      </c>
      <c r="Q13" s="1">
        <f>FLOOR(($G$43/$F$18),0.01)</f>
        <v>1.17</v>
      </c>
      <c r="R13" s="1"/>
      <c r="S13" s="1"/>
      <c r="T13" s="1"/>
      <c r="U13" s="1"/>
      <c r="V13" s="1"/>
      <c r="W13" s="1"/>
    </row>
    <row r="14" spans="1:23" ht="12.75" customHeight="1">
      <c r="A14" s="1" t="s">
        <v>24</v>
      </c>
      <c r="B14" s="2">
        <v>68</v>
      </c>
      <c r="C14" s="2">
        <v>1</v>
      </c>
      <c r="D14" s="3">
        <f>HLOOKUP(MATCH($D$2,Food!$B$1:$Z$1),Food!$B$2:$Z$37,14,TRUE)</f>
        <v>0</v>
      </c>
      <c r="E14" s="3">
        <f>Buffs!J8</f>
        <v>0</v>
      </c>
      <c r="F14" s="2"/>
      <c r="G14" s="3">
        <f t="shared" si="7"/>
        <v>69</v>
      </c>
      <c r="H14" s="9">
        <f>VLOOKUP($A14,WS!$A:$AY,HLOOKUP($H$2,WS!$1:$2,2,FALSE)+1,FALSE)</f>
        <v>0</v>
      </c>
      <c r="I14" s="3">
        <f t="shared" si="5"/>
        <v>0</v>
      </c>
      <c r="J14" s="1"/>
      <c r="K14" s="1" t="s">
        <v>25</v>
      </c>
      <c r="L14" s="1">
        <f aca="true" t="shared" si="9" ref="L14:Q14">IF(((L13-(0.05*($F$4-$B$4)))&gt;2),2,IF(((L13-(0.05*($F$4-$B$4)))&lt;0),0,(L13-(0.05*($F$4-$B$4)))))</f>
        <v>0.8199999999999998</v>
      </c>
      <c r="M14" s="1">
        <f t="shared" si="9"/>
        <v>1.1099999999999999</v>
      </c>
      <c r="N14" s="1">
        <f t="shared" si="9"/>
        <v>0.8799999999999999</v>
      </c>
      <c r="O14" s="1">
        <f t="shared" si="9"/>
        <v>0.8199999999999998</v>
      </c>
      <c r="P14" s="1">
        <f t="shared" si="9"/>
        <v>0.8199999999999998</v>
      </c>
      <c r="Q14" s="1">
        <f t="shared" si="9"/>
        <v>0.8199999999999998</v>
      </c>
      <c r="R14" s="1"/>
      <c r="S14" s="1"/>
      <c r="T14" s="1"/>
      <c r="U14" s="1"/>
      <c r="V14" s="1"/>
      <c r="W14" s="1"/>
    </row>
    <row r="15" spans="1:23" ht="12.75" customHeight="1">
      <c r="A15" s="1" t="s">
        <v>26</v>
      </c>
      <c r="B15" s="2">
        <v>286</v>
      </c>
      <c r="C15" s="2"/>
      <c r="D15" s="3"/>
      <c r="E15" s="3"/>
      <c r="F15" s="1" t="s">
        <v>27</v>
      </c>
      <c r="G15" s="3">
        <f>IF((B15&gt;200),(FLOOR((0.9*(B15-200)),1)+200),B15)</f>
        <v>277</v>
      </c>
      <c r="H15" s="1" t="s">
        <v>28</v>
      </c>
      <c r="I15" s="3">
        <f>SUM(I8:I14)</f>
        <v>47</v>
      </c>
      <c r="J15" s="1"/>
      <c r="K15" s="1" t="s">
        <v>29</v>
      </c>
      <c r="L15" s="1">
        <f>IF((VLOOKUP(L$14,'Reference Tables'!$A$23:$G$25,2,TRUE)&lt;0),0,VLOOKUP(L$14,'Reference Tables'!$A$23:$G$25,2,TRUE))</f>
        <v>0.48399999999999976</v>
      </c>
      <c r="M15" s="1">
        <f>IF((VLOOKUP(M$14,'Reference Tables'!$A$23:$G$25,3,TRUE)&lt;0),0,VLOOKUP(M$14,'Reference Tables'!$A$23:$G$25,3,TRUE))</f>
        <v>0.8319999999999999</v>
      </c>
      <c r="N15" s="1">
        <f>IF((VLOOKUP(N$14,'Reference Tables'!$A$23:$G$25,4,TRUE)&lt;0),0,VLOOKUP(N$14,'Reference Tables'!$A$23:$G$25,4,TRUE))</f>
        <v>0.5559999999999998</v>
      </c>
      <c r="O15" s="1">
        <f>IF((VLOOKUP(O$14,'Reference Tables'!$A$23:$G$25,5,TRUE)&lt;0),0,VLOOKUP(O$14,'Reference Tables'!$A$23:$G$25,5,TRUE))</f>
        <v>0.48399999999999976</v>
      </c>
      <c r="P15" s="1">
        <f>IF((VLOOKUP(P$14,'Reference Tables'!$A$23:$G$25,6,TRUE)&lt;0),0,VLOOKUP(P$14,'Reference Tables'!$A$23:$G$25,6,TRUE))</f>
        <v>0.48399999999999976</v>
      </c>
      <c r="Q15" s="1">
        <f>IF((VLOOKUP(Q$14,'Reference Tables'!$A$23:$G$25,7,TRUE)&lt;0),0,VLOOKUP(Q$14,'Reference Tables'!$A$23:$G$25,7,TRUE))</f>
        <v>0.48399999999999976</v>
      </c>
      <c r="R15" s="1"/>
      <c r="S15" s="1"/>
      <c r="T15" s="1"/>
      <c r="U15" s="1"/>
      <c r="V15" s="1"/>
      <c r="W15" s="1"/>
    </row>
    <row r="16" spans="1:23" ht="12.75" customHeight="1">
      <c r="A16" s="1" t="s">
        <v>30</v>
      </c>
      <c r="B16" s="3">
        <f>Jobs!$E$45</f>
        <v>10</v>
      </c>
      <c r="C16" s="2">
        <v>10</v>
      </c>
      <c r="D16" s="3">
        <f>HLOOKUP(MATCH($D$2,Food!$B$1:$Z$1),Food!$B$2:$Z$37,30,TRUE)</f>
        <v>0</v>
      </c>
      <c r="E16" s="3">
        <f>Buffs!J9</f>
        <v>0</v>
      </c>
      <c r="F16" s="1"/>
      <c r="G16" s="3">
        <f>$E$36+$D$16</f>
        <v>384</v>
      </c>
      <c r="H16" s="1" t="s">
        <v>31</v>
      </c>
      <c r="I16" s="27">
        <f>VLOOKUP($H16,WS!$A:$AY,HLOOKUP($H$2,WS!$1:$2,2,FALSE)+1,FALSE)</f>
        <v>4</v>
      </c>
      <c r="J16" s="1"/>
      <c r="K16" s="1" t="s">
        <v>32</v>
      </c>
      <c r="L16" s="1">
        <f>VLOOKUP(L$14,'Reference Tables'!$A$27:$G$29,2,TRUE)</f>
        <v>1</v>
      </c>
      <c r="M16" s="1">
        <f>VLOOKUP(M$14,'Reference Tables'!$A$27:$G$29,3,TRUE)</f>
        <v>1.3319999999999999</v>
      </c>
      <c r="N16" s="1">
        <f>VLOOKUP(N$14,'Reference Tables'!$A$27:$G$29,4,TRUE)</f>
        <v>1.0559999999999998</v>
      </c>
      <c r="O16" s="1">
        <f>VLOOKUP(O$14,'Reference Tables'!$A$27:$G$29,5,TRUE)</f>
        <v>1</v>
      </c>
      <c r="P16" s="1">
        <f>VLOOKUP(P$14,'Reference Tables'!$A$27:$G$29,6,TRUE)</f>
        <v>1</v>
      </c>
      <c r="Q16" s="1">
        <f>VLOOKUP(Q$14,'Reference Tables'!$A$27:$G$29,7,TRUE)</f>
        <v>1</v>
      </c>
      <c r="R16" s="1"/>
      <c r="S16" s="1"/>
      <c r="T16" s="1"/>
      <c r="U16" s="1"/>
      <c r="V16" s="1"/>
      <c r="W16" s="1"/>
    </row>
    <row r="17" spans="1:23" ht="12.75" customHeight="1">
      <c r="A17" s="1" t="s">
        <v>33</v>
      </c>
      <c r="B17" s="3">
        <f>Jobs!$D$45</f>
        <v>22</v>
      </c>
      <c r="C17" s="2">
        <v>10</v>
      </c>
      <c r="D17" s="3">
        <f>HLOOKUP(MATCH($D$2,Food!$B$1:$Z$1),Food!$B$2:$Z$37,31,TRUE)</f>
        <v>56</v>
      </c>
      <c r="E17" s="3">
        <f>Buffs!J11</f>
        <v>0</v>
      </c>
      <c r="F17" s="1"/>
      <c r="G17" s="3">
        <f>$G$25+$B$17+$C$17+$D$44+$D$17+$E$17+$G$15+$C$35</f>
        <v>421</v>
      </c>
      <c r="H17" s="1" t="s">
        <v>34</v>
      </c>
      <c r="I17" s="9">
        <f>VLOOKUP($H17,WS!$A:$AY,HLOOKUP($H$2,WS!$1:$2,2,FALSE)+1,FALSE)</f>
        <v>0.01</v>
      </c>
      <c r="J17" s="1"/>
      <c r="K17" s="1" t="s">
        <v>36</v>
      </c>
      <c r="L17" s="1">
        <f>IF(((VLOOKUP(L$14,'Reference Tables'!$A$23:$G$25,2,TRUE)+$C$31)&lt;0),0,(VLOOKUP(L$14,'Reference Tables'!$A$23:$G$25,2,TRUE)+$C$31))</f>
        <v>1.4839999999999998</v>
      </c>
      <c r="M17" s="1">
        <f>IF(((VLOOKUP(M$14,'Reference Tables'!$A$23:$G$25,3,TRUE)+$C$31)&lt;0),0,(VLOOKUP(M$14,'Reference Tables'!$A$23:$G$25,3,TRUE)+$C$31))</f>
        <v>1.8319999999999999</v>
      </c>
      <c r="N17" s="1">
        <f>IF(((VLOOKUP(N$14,'Reference Tables'!$A$23:$G$25,4,TRUE)+$C$31)&lt;0),0,(VLOOKUP(N$14,'Reference Tables'!$A$23:$G$25,4,TRUE)+$C$31))</f>
        <v>1.5559999999999998</v>
      </c>
      <c r="O17" s="1">
        <f>IF(((VLOOKUP(O$14,'Reference Tables'!$A$23:$G$25,5,TRUE)+$C$31)&lt;0),0,(VLOOKUP(O$14,'Reference Tables'!$A$23:$G$25,5,TRUE)+$C$31))</f>
        <v>1.4839999999999998</v>
      </c>
      <c r="P17" s="1">
        <f>IF(((VLOOKUP(P$14,'Reference Tables'!$A$23:$G$25,6,TRUE)+$C$31)&lt;0),0,(VLOOKUP(P$14,'Reference Tables'!$A$23:$G$25,6,TRUE)+$C$31))</f>
        <v>1.4839999999999998</v>
      </c>
      <c r="Q17" s="1">
        <f>IF(((VLOOKUP(Q$14,'Reference Tables'!$A$23:$G$25,7,TRUE)+$C$31)&lt;0),0,(VLOOKUP(Q$14,'Reference Tables'!$A$23:$G$25,7,TRUE)+$C$31))</f>
        <v>1.4839999999999998</v>
      </c>
      <c r="R17" s="1"/>
      <c r="S17" s="1"/>
      <c r="T17" s="1"/>
      <c r="U17" s="1"/>
      <c r="V17" s="1"/>
      <c r="W17" s="1"/>
    </row>
    <row r="18" spans="1:23" ht="12.75" customHeight="1">
      <c r="A18" s="1" t="s">
        <v>37</v>
      </c>
      <c r="B18" s="3"/>
      <c r="C18" s="2">
        <v>200</v>
      </c>
      <c r="D18" s="3">
        <f>HLOOKUP(MATCH($D$2,Food!$B$1:$Z$1),Food!$B$2:$Z$37,18,TRUE)</f>
        <v>0</v>
      </c>
      <c r="E18" s="3"/>
      <c r="F18" s="3">
        <f>HLOOKUP(MATCH($F$2,Enemies!$B$1:$Z$1),Enemies!$B$2:$Z$37,14,TRUE)</f>
        <v>327</v>
      </c>
      <c r="G18" s="3"/>
      <c r="H18" s="1" t="s">
        <v>293</v>
      </c>
      <c r="I18" s="3">
        <f>IF(($B$34="YES"),VLOOKUP($B$33,WS!A13:W15,HLOOKUP($H$2,WS!$1:$2,2,FALSE)+1,TRUE)+0.1,VLOOKUP($B$33,WS!A13:AA15,HLOOKUP($H$2,WS!$1:$2,2,FALSE)+1,TRUE))</f>
        <v>1</v>
      </c>
      <c r="J18" s="1"/>
      <c r="K18" s="1" t="s">
        <v>38</v>
      </c>
      <c r="L18" s="1">
        <f aca="true" t="shared" si="10" ref="L18:Q18">IF(((L$16+$C$31)&gt;3),3,(L$16+$C$31))</f>
        <v>2</v>
      </c>
      <c r="M18" s="1">
        <f t="shared" si="10"/>
        <v>2.332</v>
      </c>
      <c r="N18" s="1">
        <f t="shared" si="10"/>
        <v>2.056</v>
      </c>
      <c r="O18" s="1">
        <f t="shared" si="10"/>
        <v>2</v>
      </c>
      <c r="P18" s="1">
        <f t="shared" si="10"/>
        <v>2</v>
      </c>
      <c r="Q18" s="1">
        <f t="shared" si="10"/>
        <v>2</v>
      </c>
      <c r="R18" s="1"/>
      <c r="S18" s="1"/>
      <c r="T18" s="1"/>
      <c r="U18" s="1"/>
      <c r="V18" s="1"/>
      <c r="W18" s="1"/>
    </row>
    <row r="19" spans="1:23" ht="12.75" customHeight="1">
      <c r="A19" s="1" t="s">
        <v>39</v>
      </c>
      <c r="B19" s="3"/>
      <c r="C19" s="2"/>
      <c r="D19" s="3">
        <f>HLOOKUP(MATCH($D$2,Food!$B$1:$Z$1),Food!$B$2:$Z$37,19,TRUE)</f>
        <v>0</v>
      </c>
      <c r="E19" s="3"/>
      <c r="F19" s="3">
        <f>HLOOKUP(MATCH($F$2,Enemies!$B$1:$Z$1),Enemies!$B$2:$Z$37,15,TRUE)</f>
        <v>339</v>
      </c>
      <c r="G19" s="3"/>
      <c r="H19" s="1" t="s">
        <v>408</v>
      </c>
      <c r="I19" s="3">
        <f>IF(($B$34="YES"),VLOOKUP($B$33+1,WS!A14:W16,HLOOKUP($H$2,WS!$1:$2,2,FALSE)+1,TRUE)+0.1,VLOOKUP($B$33+1,WS!A14:AA16,HLOOKUP($H$2,WS!$1:$2,2,FALSE)+1,TRUE))</f>
        <v>1</v>
      </c>
      <c r="J19" s="1"/>
      <c r="K19" s="1" t="s">
        <v>40</v>
      </c>
      <c r="L19" s="8">
        <f>L$8*L$15</f>
        <v>48.88399999999998</v>
      </c>
      <c r="M19" s="8">
        <f aca="true" t="shared" si="11" ref="M19:Q20">M$8*M15</f>
        <v>84.03199999999998</v>
      </c>
      <c r="N19" s="8">
        <f t="shared" si="11"/>
        <v>56.155999999999985</v>
      </c>
      <c r="O19" s="8">
        <f t="shared" si="11"/>
        <v>48.88399999999998</v>
      </c>
      <c r="P19" s="8">
        <f>P$8*P15</f>
        <v>48.88399999999998</v>
      </c>
      <c r="Q19" s="8">
        <f t="shared" si="11"/>
        <v>48.88399999999998</v>
      </c>
      <c r="R19" s="1"/>
      <c r="S19" s="1"/>
      <c r="T19" s="1"/>
      <c r="U19" s="1"/>
      <c r="V19" s="1"/>
      <c r="W19" s="1"/>
    </row>
    <row r="20" spans="1:23" ht="12.75" customHeight="1">
      <c r="A20" s="1" t="s">
        <v>41</v>
      </c>
      <c r="B20" s="3">
        <f>IF($B$30="H2H",FLOOR($B$15*0.11,1)+3,0)</f>
        <v>0</v>
      </c>
      <c r="C20" s="2">
        <v>94</v>
      </c>
      <c r="D20" s="3"/>
      <c r="E20" s="3"/>
      <c r="F20" s="1"/>
      <c r="G20" s="3">
        <f>B20+C20</f>
        <v>94</v>
      </c>
      <c r="H20" s="12" t="s">
        <v>409</v>
      </c>
      <c r="I20" s="43">
        <f>VLOOKUP($H20,WS!$A:$AY,HLOOKUP($H$2,WS!$1:$2,2,FALSE)+1,FALSE)</f>
        <v>1</v>
      </c>
      <c r="J20" s="1"/>
      <c r="K20" s="1" t="s">
        <v>42</v>
      </c>
      <c r="L20" s="8">
        <f>L$8*L$16</f>
        <v>101</v>
      </c>
      <c r="M20" s="8">
        <f t="shared" si="11"/>
        <v>134.53199999999998</v>
      </c>
      <c r="N20" s="8">
        <f t="shared" si="11"/>
        <v>106.65599999999998</v>
      </c>
      <c r="O20" s="8">
        <f t="shared" si="11"/>
        <v>101</v>
      </c>
      <c r="P20" s="8">
        <f>P$8*P16</f>
        <v>101</v>
      </c>
      <c r="Q20" s="8">
        <f t="shared" si="11"/>
        <v>101</v>
      </c>
      <c r="R20" s="1"/>
      <c r="S20" s="1"/>
      <c r="T20" s="1"/>
      <c r="U20" s="1"/>
      <c r="V20" s="1"/>
      <c r="W20" s="1"/>
    </row>
    <row r="21" spans="1:23" ht="12.75" customHeight="1">
      <c r="A21" s="1" t="s">
        <v>43</v>
      </c>
      <c r="B21" s="3">
        <f>IF($B$30="H2H",IF(Jobs!$H$45=0,480,Jobs!$H$45),0)</f>
        <v>0</v>
      </c>
      <c r="C21" s="2">
        <v>492</v>
      </c>
      <c r="D21" s="3"/>
      <c r="E21" s="3"/>
      <c r="F21" s="1"/>
      <c r="G21" s="3">
        <f>IF($B$30="DW",CEILING(($C$21+$C$23+$B$21)*(1-($B$38+$C$38)),1)/2,CEILING(($C$21+$C$23+$B$21)*(1-($B$38+$C$38)),1))</f>
        <v>468</v>
      </c>
      <c r="H21" s="1" t="s">
        <v>410</v>
      </c>
      <c r="I21" s="28">
        <f>$I$17*$B$33+$G$32</f>
        <v>0.10071</v>
      </c>
      <c r="J21" s="1"/>
      <c r="K21" s="1" t="s">
        <v>44</v>
      </c>
      <c r="L21" s="8">
        <f aca="true" t="shared" si="12" ref="L21:Q21">AVERAGE(L19:L20)</f>
        <v>74.942</v>
      </c>
      <c r="M21" s="8">
        <f t="shared" si="12"/>
        <v>109.28199999999998</v>
      </c>
      <c r="N21" s="8">
        <f t="shared" si="12"/>
        <v>81.40599999999998</v>
      </c>
      <c r="O21" s="8">
        <f t="shared" si="12"/>
        <v>74.942</v>
      </c>
      <c r="P21" s="8">
        <f t="shared" si="12"/>
        <v>74.942</v>
      </c>
      <c r="Q21" s="8">
        <f t="shared" si="12"/>
        <v>74.942</v>
      </c>
      <c r="R21" s="1"/>
      <c r="S21" s="1"/>
      <c r="T21" s="1"/>
      <c r="U21" s="1"/>
      <c r="V21" s="1"/>
      <c r="W21" s="1"/>
    </row>
    <row r="22" spans="1:23" ht="12.75" customHeight="1">
      <c r="A22" s="1" t="s">
        <v>45</v>
      </c>
      <c r="B22" s="3"/>
      <c r="C22" s="2"/>
      <c r="D22" s="3"/>
      <c r="E22" s="3"/>
      <c r="F22" s="1"/>
      <c r="G22" s="3"/>
      <c r="H22" s="1"/>
      <c r="I22" s="1"/>
      <c r="J22" s="1"/>
      <c r="K22" s="1" t="s">
        <v>46</v>
      </c>
      <c r="L22" s="8">
        <f>L$8*L$17</f>
        <v>149.884</v>
      </c>
      <c r="M22" s="8">
        <f>M$8*M17</f>
        <v>185.03199999999998</v>
      </c>
      <c r="N22" s="8">
        <f>N$8*N17</f>
        <v>157.15599999999998</v>
      </c>
      <c r="O22" s="8">
        <f>O$8*O17</f>
        <v>149.884</v>
      </c>
      <c r="P22" s="8">
        <f>P$8*P17</f>
        <v>149.884</v>
      </c>
      <c r="Q22" s="8">
        <f>Q$8*Q17</f>
        <v>149.884</v>
      </c>
      <c r="R22" s="1"/>
      <c r="S22" s="1"/>
      <c r="T22" s="1"/>
      <c r="U22" s="1"/>
      <c r="V22" s="1"/>
      <c r="W22" s="1"/>
    </row>
    <row r="23" spans="1:23" ht="12.75" customHeight="1">
      <c r="A23" s="1" t="s">
        <v>47</v>
      </c>
      <c r="B23" s="3"/>
      <c r="C23" s="2"/>
      <c r="D23" s="3"/>
      <c r="E23" s="3"/>
      <c r="F23" s="1"/>
      <c r="G23" s="3"/>
      <c r="H23" s="1"/>
      <c r="I23" s="1"/>
      <c r="J23" s="1"/>
      <c r="K23" s="1" t="s">
        <v>48</v>
      </c>
      <c r="L23" s="8">
        <f>L$8*L$18</f>
        <v>202</v>
      </c>
      <c r="M23" s="8">
        <f>M8*M18</f>
        <v>235.53199999999998</v>
      </c>
      <c r="N23" s="8">
        <f>N8*N18</f>
        <v>207.656</v>
      </c>
      <c r="O23" s="8">
        <f>O8*O18</f>
        <v>202</v>
      </c>
      <c r="P23" s="8">
        <f>P8*P18</f>
        <v>202</v>
      </c>
      <c r="Q23" s="8">
        <f>Q8*Q18</f>
        <v>202</v>
      </c>
      <c r="R23" s="1"/>
      <c r="S23" s="1"/>
      <c r="T23" s="1"/>
      <c r="U23" s="1"/>
      <c r="V23" s="1"/>
      <c r="W23" s="1"/>
    </row>
    <row r="24" spans="1:23" ht="12.75" customHeight="1">
      <c r="A24" s="1" t="s">
        <v>57</v>
      </c>
      <c r="B24" s="9">
        <f>Jobs!G45</f>
        <v>0</v>
      </c>
      <c r="C24" s="7">
        <v>0.05</v>
      </c>
      <c r="D24" s="3">
        <f>HLOOKUP(MATCH($D$2,Food!$B$1:$Z$1),Food!$B$2:$Z$37,20,TRUE)</f>
        <v>0</v>
      </c>
      <c r="E24" s="9">
        <f>Buffs!J13</f>
        <v>0</v>
      </c>
      <c r="F24" s="6"/>
      <c r="G24" s="9">
        <f>B24+C24</f>
        <v>0.05</v>
      </c>
      <c r="H24" s="1"/>
      <c r="I24" s="1"/>
      <c r="J24" s="1"/>
      <c r="K24" s="1" t="s">
        <v>49</v>
      </c>
      <c r="L24" s="1">
        <f>FLOOR(($I$15*L$25),1)</f>
        <v>39</v>
      </c>
      <c r="M24" s="1">
        <f>FLOOR(($I$15*M25),1)</f>
        <v>39</v>
      </c>
      <c r="N24" s="1">
        <f>FLOOR(($I$15*N25),1)</f>
        <v>39</v>
      </c>
      <c r="O24" s="1">
        <f>FLOOR(($I$15*O25),1)</f>
        <v>39</v>
      </c>
      <c r="P24" s="1">
        <f>FLOOR(($I$15*P25),1)</f>
        <v>39</v>
      </c>
      <c r="Q24" s="1">
        <f>FLOOR(($I$15*Q25),1)</f>
        <v>39</v>
      </c>
      <c r="R24" s="1"/>
      <c r="S24" s="1"/>
      <c r="T24" s="1"/>
      <c r="U24" s="1"/>
      <c r="V24" s="1"/>
      <c r="W24" s="1"/>
    </row>
    <row r="25" spans="1:23" ht="12.75" customHeight="1">
      <c r="A25" s="1" t="s">
        <v>50</v>
      </c>
      <c r="B25" s="3">
        <f>IF($B$2="SAM",IF($B$30="2HANDED",VLOOKUP($B$4,JA!B40:G48,6,TRUE),0),IF($B$3="SAM",IF($B$30="2HANDED",VLOOKUP($B$5,JA!B40:G48,6,TRUE),0),0))</f>
        <v>0</v>
      </c>
      <c r="C25" s="1"/>
      <c r="D25" s="3"/>
      <c r="E25" s="3"/>
      <c r="F25" s="1" t="s">
        <v>27</v>
      </c>
      <c r="G25" s="3">
        <f>IF((B25&gt;0),10,0)</f>
        <v>0</v>
      </c>
      <c r="H25" s="1"/>
      <c r="I25" s="1"/>
      <c r="J25" s="1"/>
      <c r="K25" s="1" t="s">
        <v>51</v>
      </c>
      <c r="L25" s="1">
        <f>VLOOKUP($B$4,'Reference Tables'!$A$31:$B$48,2,TRUE)</f>
        <v>0.8299999999999998</v>
      </c>
      <c r="M25" s="1">
        <f>VLOOKUP($B$4,'Reference Tables'!$A$31:$B$48,2,TRUE)</f>
        <v>0.8299999999999998</v>
      </c>
      <c r="N25" s="1">
        <f>VLOOKUP($B$4,'Reference Tables'!$A$31:$B$48,2,TRUE)</f>
        <v>0.8299999999999998</v>
      </c>
      <c r="O25" s="1">
        <f>VLOOKUP($B$4,'Reference Tables'!$A$31:$B$48,2,TRUE)</f>
        <v>0.8299999999999998</v>
      </c>
      <c r="P25" s="1">
        <f>VLOOKUP($B$4,'Reference Tables'!$A$31:$B$48,2,TRUE)</f>
        <v>0.8299999999999998</v>
      </c>
      <c r="Q25" s="1">
        <f>VLOOKUP($B$4,'Reference Tables'!$A$31:$B$48,2,TRUE)</f>
        <v>0.8299999999999998</v>
      </c>
      <c r="R25" s="1"/>
      <c r="S25" s="1"/>
      <c r="T25" s="1"/>
      <c r="U25" s="1"/>
      <c r="V25" s="1"/>
      <c r="W25" s="1"/>
    </row>
    <row r="26" spans="1:23" ht="12.75" customHeight="1">
      <c r="A26" s="1" t="s">
        <v>52</v>
      </c>
      <c r="B26" s="9">
        <f>IF($B$2="WAR",VLOOKUP($B$4,JA!B61:G63,4,TRUE),IF($B$3="WAR",VLOOKUP($B$5,JA!B61:G63,4,TRUE),0))</f>
        <v>0.25</v>
      </c>
      <c r="C26" s="3">
        <f>FLOOR($E$36*(1+B26),1)</f>
        <v>480</v>
      </c>
      <c r="D26" s="3">
        <f>HLOOKUP(MATCH($D$2,Food!$B$1:$Z$1),Food!$B$2:$Z$33,32,TRUE)</f>
        <v>0</v>
      </c>
      <c r="E26" s="3"/>
      <c r="F26" s="1"/>
      <c r="G26" s="3">
        <f>SUM(C26:D26)</f>
        <v>480</v>
      </c>
      <c r="H26" s="1"/>
      <c r="I26" s="1"/>
      <c r="J26" s="1"/>
      <c r="K26" s="1" t="s">
        <v>54</v>
      </c>
      <c r="L26" s="22">
        <f aca="true" t="shared" si="13" ref="L26:Q26">IF($B$33=3,0,IF($B$33&gt;2,$B$33-2,$B$33-1))</f>
        <v>0.07099999999999995</v>
      </c>
      <c r="M26" s="22">
        <f t="shared" si="13"/>
        <v>0.07099999999999995</v>
      </c>
      <c r="N26" s="22">
        <f t="shared" si="13"/>
        <v>0.07099999999999995</v>
      </c>
      <c r="O26" s="22">
        <f t="shared" si="13"/>
        <v>0.07099999999999995</v>
      </c>
      <c r="P26" s="22">
        <f t="shared" si="13"/>
        <v>0.07099999999999995</v>
      </c>
      <c r="Q26" s="22">
        <f t="shared" si="13"/>
        <v>0.07099999999999995</v>
      </c>
      <c r="R26" s="1"/>
      <c r="S26" s="1"/>
      <c r="T26" s="1"/>
      <c r="U26" s="1"/>
      <c r="V26" s="1"/>
      <c r="W26" s="1"/>
    </row>
    <row r="27" spans="1:23" ht="12.75" customHeight="1">
      <c r="A27" s="1" t="s">
        <v>232</v>
      </c>
      <c r="B27" s="9">
        <f>IF($B$2="WAR",VLOOKUP($B$4,'Job Traits'!A45:C47,3,TRUE),IF($B$3="WAR",VLOOKUP($B$5,'Job Traits'!A45:C47,3,TRUE),0))</f>
        <v>0.1</v>
      </c>
      <c r="C27" s="7">
        <v>0.02</v>
      </c>
      <c r="D27" s="3">
        <f>HLOOKUP(MATCH($D$2,Food!$B$1:$Z$1),Food!$B$2:$Z$37,21,TRUE)</f>
        <v>0</v>
      </c>
      <c r="E27" s="9">
        <f>Buffs!J12</f>
        <v>0</v>
      </c>
      <c r="F27" s="1"/>
      <c r="G27" s="10">
        <f>SUM(B27:E27)</f>
        <v>0.12000000000000001</v>
      </c>
      <c r="H27" s="1"/>
      <c r="I27" s="1"/>
      <c r="J27" s="1"/>
      <c r="K27" s="1" t="s">
        <v>56</v>
      </c>
      <c r="L27" s="42">
        <f aca="true" t="shared" si="14" ref="L27:Q27">$I$18+L$26*($I$19-$I$18)</f>
        <v>1</v>
      </c>
      <c r="M27" s="42">
        <f t="shared" si="14"/>
        <v>1</v>
      </c>
      <c r="N27" s="42">
        <f t="shared" si="14"/>
        <v>1</v>
      </c>
      <c r="O27" s="42">
        <f t="shared" si="14"/>
        <v>1</v>
      </c>
      <c r="P27" s="42">
        <f t="shared" si="14"/>
        <v>1</v>
      </c>
      <c r="Q27" s="42">
        <f t="shared" si="14"/>
        <v>1</v>
      </c>
      <c r="R27" s="1"/>
      <c r="S27" s="1"/>
      <c r="T27" s="1"/>
      <c r="U27" s="1"/>
      <c r="V27" s="1"/>
      <c r="W27" s="1"/>
    </row>
    <row r="28" spans="1:23" ht="12.75" customHeight="1">
      <c r="A28" s="1" t="s">
        <v>233</v>
      </c>
      <c r="B28" s="9">
        <f>IF($B$2="THF",VLOOKUP($B$4,'Job Traits'!A40:C42,3,TRUE),IF($B$3="THF",VLOOKUP($B$5,'Job Traits'!A40:C42,3,TRUE),0))</f>
        <v>0</v>
      </c>
      <c r="C28" s="7">
        <v>0.01</v>
      </c>
      <c r="D28" s="3">
        <f>HLOOKUP(MATCH($D$2,Food!$B$1:$Z$1),Food!$B$2:$Z$37,22,TRUE)</f>
        <v>0</v>
      </c>
      <c r="E28" s="3"/>
      <c r="F28" s="6"/>
      <c r="G28" s="10">
        <f>SUM(B28:E28)</f>
        <v>0.01</v>
      </c>
      <c r="H28" s="1"/>
      <c r="I28" s="1"/>
      <c r="J28" s="1"/>
      <c r="K28" s="1" t="s">
        <v>58</v>
      </c>
      <c r="L28" s="5">
        <f aca="true" t="shared" si="15" ref="L28:Q28">(($G$20+L$11+L$24)*L$27)*L$74</f>
        <v>67.75999999999996</v>
      </c>
      <c r="M28" s="5">
        <f t="shared" si="15"/>
        <v>116.47999999999998</v>
      </c>
      <c r="N28" s="5">
        <f t="shared" si="15"/>
        <v>77.83999999999997</v>
      </c>
      <c r="O28" s="5">
        <f t="shared" si="15"/>
        <v>67.75999999999996</v>
      </c>
      <c r="P28" s="5">
        <f t="shared" si="15"/>
        <v>67.75999999999996</v>
      </c>
      <c r="Q28" s="5">
        <f t="shared" si="15"/>
        <v>67.75999999999996</v>
      </c>
      <c r="R28" s="1"/>
      <c r="S28" s="1"/>
      <c r="T28" s="1"/>
      <c r="U28" s="1"/>
      <c r="V28" s="1"/>
      <c r="W28" s="1"/>
    </row>
    <row r="29" spans="1:23" ht="12.75" customHeight="1">
      <c r="A29" s="1" t="s">
        <v>59</v>
      </c>
      <c r="B29" s="9">
        <f>IF((B25&gt;0),0.1,0)</f>
        <v>0</v>
      </c>
      <c r="C29" s="7">
        <v>0.05</v>
      </c>
      <c r="D29" s="3">
        <f>HLOOKUP(MATCH($D$2,Food!$B$1:$Z$1),Food!$B$2:$Z$37,23,TRUE)</f>
        <v>0</v>
      </c>
      <c r="E29" s="9">
        <f>Buffs!J14</f>
        <v>0.15</v>
      </c>
      <c r="F29" s="1"/>
      <c r="G29" s="10">
        <f>SUM(B29:E29)</f>
        <v>0.2</v>
      </c>
      <c r="H29" s="1"/>
      <c r="I29" s="1"/>
      <c r="J29" s="1"/>
      <c r="K29" s="1" t="s">
        <v>60</v>
      </c>
      <c r="L29" s="5">
        <f aca="true" t="shared" si="16" ref="L29:Q29">(($G$20+L$11+L$24)*L$27)*L$75</f>
        <v>140</v>
      </c>
      <c r="M29" s="5">
        <f t="shared" si="16"/>
        <v>186.48</v>
      </c>
      <c r="N29" s="5">
        <f t="shared" si="16"/>
        <v>147.83999999999997</v>
      </c>
      <c r="O29" s="5">
        <f t="shared" si="16"/>
        <v>140</v>
      </c>
      <c r="P29" s="5">
        <f t="shared" si="16"/>
        <v>140</v>
      </c>
      <c r="Q29" s="5">
        <f t="shared" si="16"/>
        <v>140</v>
      </c>
      <c r="R29" s="1"/>
      <c r="S29" s="1"/>
      <c r="T29" s="1"/>
      <c r="U29" s="1"/>
      <c r="V29" s="1"/>
      <c r="W29" s="1"/>
    </row>
    <row r="30" spans="1:23" ht="13.5" customHeight="1">
      <c r="A30" s="1" t="s">
        <v>265</v>
      </c>
      <c r="B30" s="2" t="s">
        <v>236</v>
      </c>
      <c r="C30" s="1">
        <f>IF($B$30="H2H",FLOOR(($C$20+3)/9,1),FLOOR((C20/9),1))</f>
        <v>10</v>
      </c>
      <c r="D30" s="3"/>
      <c r="E30" s="3"/>
      <c r="F30" s="1"/>
      <c r="G30" s="3"/>
      <c r="H30" s="1"/>
      <c r="I30" s="1"/>
      <c r="J30" s="1"/>
      <c r="K30" s="1" t="s">
        <v>61</v>
      </c>
      <c r="L30" s="5">
        <f aca="true" t="shared" si="17" ref="L30:Q30">IF($I$17=0,(($G$20+L$11+L$24)*L$74),((($G$20+L$11+L$24)*L$76)*$I$21)+(($G$20+L$11+L$24)*L$74)*(1-$I$21))</f>
        <v>81.85939999999997</v>
      </c>
      <c r="M30" s="5">
        <f t="shared" si="17"/>
        <v>130.57939999999996</v>
      </c>
      <c r="N30" s="5">
        <f t="shared" si="17"/>
        <v>91.93939999999998</v>
      </c>
      <c r="O30" s="5">
        <f t="shared" si="17"/>
        <v>81.85939999999997</v>
      </c>
      <c r="P30" s="5">
        <f t="shared" si="17"/>
        <v>81.85939999999997</v>
      </c>
      <c r="Q30" s="5">
        <f t="shared" si="17"/>
        <v>81.85939999999997</v>
      </c>
      <c r="R30" s="1"/>
      <c r="S30" s="1"/>
      <c r="T30" s="1"/>
      <c r="U30" s="1"/>
      <c r="V30" s="1"/>
      <c r="W30" s="1"/>
    </row>
    <row r="31" spans="1:23" ht="12.75" customHeight="1">
      <c r="A31" s="1" t="s">
        <v>62</v>
      </c>
      <c r="B31" s="1"/>
      <c r="C31" s="1">
        <v>1</v>
      </c>
      <c r="D31" s="3"/>
      <c r="E31" s="3"/>
      <c r="F31" s="1"/>
      <c r="G31" s="3"/>
      <c r="H31" s="1"/>
      <c r="I31" s="1"/>
      <c r="J31" s="1"/>
      <c r="K31" s="1" t="s">
        <v>63</v>
      </c>
      <c r="L31" s="5">
        <f aca="true" t="shared" si="18" ref="L31:Q31">IF($I$17=0,(($G$20+L$11+L$24)*L$75),((($G$20+L$11+L$24)*L$77)*$I$21)+(($G$20+L$11+L$24)*L$75)*(1-$I$21))</f>
        <v>154.0994</v>
      </c>
      <c r="M31" s="5">
        <f t="shared" si="18"/>
        <v>200.5794</v>
      </c>
      <c r="N31" s="5">
        <f t="shared" si="18"/>
        <v>161.93939999999998</v>
      </c>
      <c r="O31" s="5">
        <f t="shared" si="18"/>
        <v>154.0994</v>
      </c>
      <c r="P31" s="5">
        <f t="shared" si="18"/>
        <v>154.0994</v>
      </c>
      <c r="Q31" s="5">
        <f t="shared" si="18"/>
        <v>154.0994</v>
      </c>
      <c r="R31" s="1"/>
      <c r="S31" s="1"/>
      <c r="T31" s="1"/>
      <c r="U31" s="1"/>
      <c r="V31" s="1"/>
      <c r="W31" s="1"/>
    </row>
    <row r="32" spans="1:23" ht="12.75" customHeight="1">
      <c r="A32" s="1" t="s">
        <v>64</v>
      </c>
      <c r="B32" s="9">
        <f>VLOOKUP($G$9-$F$11,'Reference Tables'!A63:B78,2,TRUE)</f>
        <v>0.05</v>
      </c>
      <c r="C32" s="7">
        <v>0.04</v>
      </c>
      <c r="D32" s="3">
        <f>HLOOKUP(MATCH($D$2,Food!$B$1:$Z$1),Food!$B$2:$Z$37,24,TRUE)</f>
        <v>0</v>
      </c>
      <c r="E32" s="9">
        <f>Buffs!G14</f>
        <v>0</v>
      </c>
      <c r="F32" s="1"/>
      <c r="G32" s="10">
        <f>SUM(B32:E32)</f>
        <v>0.09</v>
      </c>
      <c r="H32" s="1"/>
      <c r="I32" s="1"/>
      <c r="J32" s="1"/>
      <c r="K32" s="1" t="s">
        <v>65</v>
      </c>
      <c r="L32" s="5">
        <f aca="true" t="shared" si="19" ref="L32:Q32">((($G$20+L$11)+L$24)*L$27)*L$76</f>
        <v>207.75999999999996</v>
      </c>
      <c r="M32" s="5">
        <f t="shared" si="19"/>
        <v>256.47999999999996</v>
      </c>
      <c r="N32" s="5">
        <f t="shared" si="19"/>
        <v>217.83999999999997</v>
      </c>
      <c r="O32" s="5">
        <f t="shared" si="19"/>
        <v>207.75999999999996</v>
      </c>
      <c r="P32" s="5">
        <f t="shared" si="19"/>
        <v>207.75999999999996</v>
      </c>
      <c r="Q32" s="5">
        <f t="shared" si="19"/>
        <v>207.75999999999996</v>
      </c>
      <c r="R32" s="1"/>
      <c r="S32" s="1"/>
      <c r="T32" s="1"/>
      <c r="U32" s="1"/>
      <c r="V32" s="1"/>
      <c r="W32" s="1"/>
    </row>
    <row r="33" spans="1:23" ht="12.75" customHeight="1">
      <c r="A33" s="1" t="s">
        <v>66</v>
      </c>
      <c r="B33" s="9">
        <f>IF(($F$52*($H$52-1))+$I$48+$I$44&gt;3,3,($F$52*($H$52-1))+$I$48+$I$44)</f>
        <v>1.071</v>
      </c>
      <c r="C33" s="6"/>
      <c r="D33" s="1"/>
      <c r="E33" s="1"/>
      <c r="F33" s="1"/>
      <c r="G33" s="3"/>
      <c r="H33" s="1"/>
      <c r="I33" s="1"/>
      <c r="J33" s="1"/>
      <c r="K33" s="1" t="s">
        <v>67</v>
      </c>
      <c r="L33" s="5">
        <f aca="true" t="shared" si="20" ref="L33:Q33">((($G$20+L$11)+L$24)*L$27)*L$77</f>
        <v>280</v>
      </c>
      <c r="M33" s="5">
        <f t="shared" si="20"/>
        <v>326.47999999999996</v>
      </c>
      <c r="N33" s="5">
        <f t="shared" si="20"/>
        <v>287.84000000000003</v>
      </c>
      <c r="O33" s="5">
        <f t="shared" si="20"/>
        <v>280</v>
      </c>
      <c r="P33" s="5">
        <f t="shared" si="20"/>
        <v>280</v>
      </c>
      <c r="Q33" s="5">
        <f t="shared" si="20"/>
        <v>280</v>
      </c>
      <c r="R33" s="1"/>
      <c r="S33" s="1"/>
      <c r="T33" s="1"/>
      <c r="U33" s="1"/>
      <c r="V33" s="1"/>
      <c r="W33" s="1"/>
    </row>
    <row r="34" spans="1:23" ht="12.75" customHeight="1">
      <c r="A34" s="1" t="s">
        <v>68</v>
      </c>
      <c r="B34" s="2" t="s">
        <v>53</v>
      </c>
      <c r="C34" s="1"/>
      <c r="D34" s="1"/>
      <c r="E34" s="1"/>
      <c r="F34" s="1"/>
      <c r="G34" s="3"/>
      <c r="H34" s="1"/>
      <c r="I34" s="1"/>
      <c r="J34" s="1"/>
      <c r="K34" s="1" t="s">
        <v>11</v>
      </c>
      <c r="L34" s="1">
        <f aca="true" t="shared" si="21" ref="L34:Q34">FLOOR(AVERAGE(L28:L29),1)</f>
        <v>103</v>
      </c>
      <c r="M34" s="1">
        <f t="shared" si="21"/>
        <v>151</v>
      </c>
      <c r="N34" s="1">
        <f t="shared" si="21"/>
        <v>112</v>
      </c>
      <c r="O34" s="1">
        <f t="shared" si="21"/>
        <v>103</v>
      </c>
      <c r="P34" s="1">
        <f t="shared" si="21"/>
        <v>103</v>
      </c>
      <c r="Q34" s="1">
        <f t="shared" si="21"/>
        <v>103</v>
      </c>
      <c r="R34" s="1"/>
      <c r="S34" s="1"/>
      <c r="T34" s="1"/>
      <c r="U34" s="1"/>
      <c r="V34" s="1"/>
      <c r="W34" s="1"/>
    </row>
    <row r="35" spans="1:23" ht="12.75" customHeight="1">
      <c r="A35" s="1" t="s">
        <v>266</v>
      </c>
      <c r="B35" s="3">
        <f>IF(($B$30="2HANDED"),FLOOR(($G$8*0.75),1),FLOOR(($G$8*0.5),1))</f>
        <v>70</v>
      </c>
      <c r="C35" s="3">
        <f>IF(($B$30="2HANDED"),FLOOR(($G$9*0.75),1),FLOOR(($G$9*0.5),1))</f>
        <v>56</v>
      </c>
      <c r="D35" s="1" t="s">
        <v>285</v>
      </c>
      <c r="E35" s="9">
        <f>Buffs!J10</f>
        <v>0</v>
      </c>
      <c r="F35" s="1"/>
      <c r="G35" s="3"/>
      <c r="H35" s="1"/>
      <c r="I35" s="1"/>
      <c r="J35" s="1"/>
      <c r="K35" s="1" t="s">
        <v>69</v>
      </c>
      <c r="L35" s="1">
        <f aca="true" t="shared" si="22" ref="L35:Q35">IF($I$17=0,FLOOR(AVERAGE(L30:L31),1),FLOOR(AVERAGE(L30:L31)*(1-$I$21)+($I$21*L$36),1))</f>
        <v>130</v>
      </c>
      <c r="M35" s="1">
        <f t="shared" si="22"/>
        <v>178</v>
      </c>
      <c r="N35" s="1">
        <f t="shared" si="22"/>
        <v>139</v>
      </c>
      <c r="O35" s="1">
        <f t="shared" si="22"/>
        <v>130</v>
      </c>
      <c r="P35" s="1">
        <f t="shared" si="22"/>
        <v>130</v>
      </c>
      <c r="Q35" s="1">
        <f t="shared" si="22"/>
        <v>130</v>
      </c>
      <c r="R35" s="1"/>
      <c r="S35" s="1"/>
      <c r="T35" s="1"/>
      <c r="U35" s="1"/>
      <c r="V35" s="1"/>
      <c r="W35" s="1"/>
    </row>
    <row r="36" spans="1:23" ht="12.75" customHeight="1">
      <c r="A36" s="1" t="s">
        <v>267</v>
      </c>
      <c r="B36" s="3">
        <f>(8+$B$15+$B$16+$C$16+$B$35)</f>
        <v>384</v>
      </c>
      <c r="C36" s="3">
        <f>$G$25+$B$17+$C$17+$G$15+$C35</f>
        <v>365</v>
      </c>
      <c r="D36" s="1" t="s">
        <v>286</v>
      </c>
      <c r="E36" s="3">
        <f>FLOOR((B36+E16)*(1+E35),1)</f>
        <v>384</v>
      </c>
      <c r="F36" s="1"/>
      <c r="G36" s="3"/>
      <c r="H36" s="1"/>
      <c r="I36" s="1"/>
      <c r="J36" s="1"/>
      <c r="K36" s="1" t="s">
        <v>70</v>
      </c>
      <c r="L36" s="1">
        <f aca="true" t="shared" si="23" ref="L36:Q36">FLOOR(AVERAGE(L32:L33),1)</f>
        <v>243</v>
      </c>
      <c r="M36" s="1">
        <f t="shared" si="23"/>
        <v>291</v>
      </c>
      <c r="N36" s="1">
        <f t="shared" si="23"/>
        <v>252</v>
      </c>
      <c r="O36" s="1">
        <f t="shared" si="23"/>
        <v>243</v>
      </c>
      <c r="P36" s="1">
        <f t="shared" si="23"/>
        <v>243</v>
      </c>
      <c r="Q36" s="1">
        <f t="shared" si="23"/>
        <v>243</v>
      </c>
      <c r="R36" s="1"/>
      <c r="S36" s="1" t="s">
        <v>180</v>
      </c>
      <c r="T36" s="1"/>
      <c r="U36" s="1"/>
      <c r="V36" s="1"/>
      <c r="W36" s="1"/>
    </row>
    <row r="37" spans="1:23" ht="12.75" customHeight="1">
      <c r="A37" s="1" t="s">
        <v>71</v>
      </c>
      <c r="B37" s="2"/>
      <c r="C37" s="1"/>
      <c r="D37" s="1"/>
      <c r="E37" s="1"/>
      <c r="F37" s="1"/>
      <c r="G37" s="9">
        <f>IF((((0.75+(($G$17-$F$19)*0.005))+((($B$4-$F$4)*4)*0.005))&gt;0.95),0.95,IF((((0.75+(($G$17-$F$19)*0.005))+((($B$4-$F$4)*4)*0.005))&lt;0.2),0.2,((0.75+(($G$17-$F$19)*0.005))+((($B$4-$F$4)*4)*0.005))))</f>
        <v>0.95</v>
      </c>
      <c r="H37" s="1"/>
      <c r="I37" s="1"/>
      <c r="J37" s="1"/>
      <c r="K37" s="1" t="s">
        <v>72</v>
      </c>
      <c r="L37" s="1">
        <f aca="true" t="shared" si="24" ref="L37:Q37">IF(($I$17&gt;0),FLOOR(((L$36*$I$21)+(L$34*(1-$I$21))),1),L$34)</f>
        <v>117</v>
      </c>
      <c r="M37" s="1">
        <f t="shared" si="24"/>
        <v>165</v>
      </c>
      <c r="N37" s="1">
        <f t="shared" si="24"/>
        <v>126</v>
      </c>
      <c r="O37" s="1">
        <f t="shared" si="24"/>
        <v>117</v>
      </c>
      <c r="P37" s="1">
        <f t="shared" si="24"/>
        <v>117</v>
      </c>
      <c r="Q37" s="1">
        <f t="shared" si="24"/>
        <v>117</v>
      </c>
      <c r="R37" s="1" t="s">
        <v>431</v>
      </c>
      <c r="S37" s="26">
        <f>(($G$21*(1-$G$29-$D$49))/60)</f>
        <v>6.24</v>
      </c>
      <c r="T37" s="1"/>
      <c r="U37" s="1"/>
      <c r="V37" s="1"/>
      <c r="W37" s="1"/>
    </row>
    <row r="38" spans="1:23" ht="12.75" customHeight="1">
      <c r="A38" s="1" t="s">
        <v>73</v>
      </c>
      <c r="B38" s="9">
        <f>IF($B$30="DW",Jobs!F45,0)</f>
        <v>0</v>
      </c>
      <c r="C38" s="7">
        <v>0.05</v>
      </c>
      <c r="D38" s="7"/>
      <c r="E38" s="7"/>
      <c r="F38" s="1"/>
      <c r="G38" s="1"/>
      <c r="H38" s="1"/>
      <c r="I38" s="1"/>
      <c r="J38" s="1"/>
      <c r="K38" s="1" t="s">
        <v>74</v>
      </c>
      <c r="L38" s="1">
        <f aca="true" t="shared" si="25" ref="L38:Q38">FLOOR(((L$35*($I$16-1))*$G$37),1)</f>
        <v>370</v>
      </c>
      <c r="M38" s="1">
        <f t="shared" si="25"/>
        <v>507</v>
      </c>
      <c r="N38" s="1">
        <f t="shared" si="25"/>
        <v>396</v>
      </c>
      <c r="O38" s="1">
        <f t="shared" si="25"/>
        <v>370</v>
      </c>
      <c r="P38" s="1">
        <f t="shared" si="25"/>
        <v>370</v>
      </c>
      <c r="Q38" s="1">
        <f t="shared" si="25"/>
        <v>370</v>
      </c>
      <c r="R38" s="1" t="s">
        <v>430</v>
      </c>
      <c r="S38" s="26">
        <f>30/$S$37</f>
        <v>4.8076923076923075</v>
      </c>
      <c r="T38" s="1"/>
      <c r="U38" s="1"/>
      <c r="V38" s="1"/>
      <c r="W38" s="1"/>
    </row>
    <row r="39" spans="1:23" ht="12.75" customHeight="1">
      <c r="A39" s="1" t="s">
        <v>75</v>
      </c>
      <c r="B39" s="9">
        <f>IF($B$2="SAM",VLOOKUP($B$4,JA!B50:G50,4,TRUE),IF($B$3="SAM",VLOOKUP($B$5,JA!B49:G49,4,TRUE),0))</f>
        <v>0</v>
      </c>
      <c r="C39" s="1"/>
      <c r="D39" s="1"/>
      <c r="E39" s="1"/>
      <c r="F39" s="1"/>
      <c r="G39" s="1"/>
      <c r="H39" s="1"/>
      <c r="I39" s="1"/>
      <c r="J39" s="1"/>
      <c r="K39" s="1" t="s">
        <v>297</v>
      </c>
      <c r="L39" s="1">
        <f aca="true" t="shared" si="26" ref="L39:Q39">IF($B$2="THF",L$8+$G$9+$G$11,0)</f>
        <v>0</v>
      </c>
      <c r="M39" s="1">
        <f t="shared" si="26"/>
        <v>0</v>
      </c>
      <c r="N39" s="1">
        <f t="shared" si="26"/>
        <v>0</v>
      </c>
      <c r="O39" s="1">
        <f t="shared" si="26"/>
        <v>0</v>
      </c>
      <c r="P39" s="1">
        <f t="shared" si="26"/>
        <v>0</v>
      </c>
      <c r="Q39" s="1">
        <f t="shared" si="26"/>
        <v>0</v>
      </c>
      <c r="R39" s="1" t="s">
        <v>432</v>
      </c>
      <c r="S39" s="26">
        <f>$S$38*$G$37</f>
        <v>4.567307692307692</v>
      </c>
      <c r="T39" s="1"/>
      <c r="U39" s="1"/>
      <c r="V39" s="1"/>
      <c r="W39" s="1"/>
    </row>
    <row r="40" spans="1:23" ht="12.75" customHeight="1">
      <c r="A40" s="1" t="s">
        <v>97</v>
      </c>
      <c r="B40" s="23">
        <f>IF($B$2="WAR",VLOOKUP($B$4,JA!B64:G76,4,TRUE),IF($B$3="WAR",VLOOKUP($B$5,JA!B64:G76,4,TRUE),0))</f>
        <v>0.0546875</v>
      </c>
      <c r="C40" s="3">
        <f>FLOOR($E$36*(1+B40),1)</f>
        <v>405</v>
      </c>
      <c r="D40" s="3">
        <f>HLOOKUP(MATCH($D$2,Food!$B$1:$Z$1),Food!$B$2:$Z$37,33,TRUE)</f>
        <v>0</v>
      </c>
      <c r="E40" s="1"/>
      <c r="F40" s="1"/>
      <c r="G40" s="3">
        <f>SUM(C40:D40)</f>
        <v>405</v>
      </c>
      <c r="H40" s="1"/>
      <c r="I40" s="1"/>
      <c r="J40" s="1"/>
      <c r="K40" s="1" t="s">
        <v>298</v>
      </c>
      <c r="L40" s="1">
        <f aca="true" t="shared" si="27" ref="L40:Q40">IF($B$2="THF",L$8+$G$9,0)</f>
        <v>0</v>
      </c>
      <c r="M40" s="1">
        <f t="shared" si="27"/>
        <v>0</v>
      </c>
      <c r="N40" s="1">
        <f t="shared" si="27"/>
        <v>0</v>
      </c>
      <c r="O40" s="1">
        <f t="shared" si="27"/>
        <v>0</v>
      </c>
      <c r="P40" s="1">
        <f t="shared" si="27"/>
        <v>0</v>
      </c>
      <c r="Q40" s="1">
        <f t="shared" si="27"/>
        <v>0</v>
      </c>
      <c r="R40" s="1" t="s">
        <v>433</v>
      </c>
      <c r="S40" s="26">
        <f>30/$G$54</f>
        <v>5.2</v>
      </c>
      <c r="T40" s="1"/>
      <c r="U40" s="1"/>
      <c r="V40" s="1"/>
      <c r="W40" s="1"/>
    </row>
    <row r="41" spans="1:23" ht="12.75" customHeight="1">
      <c r="A41" s="1" t="s">
        <v>98</v>
      </c>
      <c r="B41" s="23">
        <f>IF($B$2="DRK",VLOOKUP($B$4,JA!B11:G13,4,TRUE),IF($B$3="DRK",VLOOKUP($B$5,JA!B11:G13,4,TRUE),0))</f>
        <v>0</v>
      </c>
      <c r="C41" s="3">
        <f>FLOOR($E$36*(1+B41),1)</f>
        <v>384</v>
      </c>
      <c r="D41" s="3">
        <f>HLOOKUP(MATCH($D$2,Food!$B$1:$Z$1),Food!$B$2:$Z$37,34,TRUE)</f>
        <v>0</v>
      </c>
      <c r="E41" s="1"/>
      <c r="F41" s="1"/>
      <c r="G41" s="3">
        <f>SUM(C41:D41)</f>
        <v>384</v>
      </c>
      <c r="H41" s="1"/>
      <c r="I41" s="1"/>
      <c r="J41" s="1"/>
      <c r="K41" s="1" t="s">
        <v>299</v>
      </c>
      <c r="L41" s="1">
        <f aca="true" t="shared" si="28" ref="L41:Q41">IF($B$2="THF",L$8+$G$11,0)</f>
        <v>0</v>
      </c>
      <c r="M41" s="1">
        <f t="shared" si="28"/>
        <v>0</v>
      </c>
      <c r="N41" s="1">
        <f t="shared" si="28"/>
        <v>0</v>
      </c>
      <c r="O41" s="1">
        <f t="shared" si="28"/>
        <v>0</v>
      </c>
      <c r="P41" s="1">
        <f t="shared" si="28"/>
        <v>0</v>
      </c>
      <c r="Q41" s="1">
        <f t="shared" si="28"/>
        <v>0</v>
      </c>
      <c r="R41" s="1" t="s">
        <v>434</v>
      </c>
      <c r="S41" s="26">
        <f>IF($S$39-$S$40&lt;0,0,$S$39-$S$40)</f>
        <v>0</v>
      </c>
      <c r="T41" s="1"/>
      <c r="U41" s="1"/>
      <c r="V41" s="1"/>
      <c r="W41" s="1"/>
    </row>
    <row r="42" spans="1:23" ht="12.75" customHeight="1">
      <c r="A42" s="1" t="s">
        <v>195</v>
      </c>
      <c r="B42" s="23">
        <f>IF($B$2="MNK",VLOOKUP($B$4,JA!B24:G26,4,TRUE),IF($B$3="MNK",VLOOKUP($B$5,JA!B24:G26,4,TRUE),0))</f>
        <v>0</v>
      </c>
      <c r="C42" s="3">
        <f>FLOOR($E$36*(1+B42),1)</f>
        <v>384</v>
      </c>
      <c r="D42" s="3">
        <f>HLOOKUP(MATCH($D$2,Food!$B$1:$Z$1),Food!$B$2:$Z$37,35,TRUE)</f>
        <v>0</v>
      </c>
      <c r="E42" s="1"/>
      <c r="F42" s="1"/>
      <c r="G42" s="3">
        <f>SUM(C42:D42)</f>
        <v>384</v>
      </c>
      <c r="H42" s="1"/>
      <c r="I42" s="1"/>
      <c r="J42" s="1"/>
      <c r="K42" s="1" t="s">
        <v>300</v>
      </c>
      <c r="L42" s="8">
        <f aca="true" t="shared" si="29" ref="L42:Q42">L$40*L$76</f>
        <v>0</v>
      </c>
      <c r="M42" s="8">
        <f t="shared" si="29"/>
        <v>0</v>
      </c>
      <c r="N42" s="8">
        <f t="shared" si="29"/>
        <v>0</v>
      </c>
      <c r="O42" s="8">
        <f t="shared" si="29"/>
        <v>0</v>
      </c>
      <c r="P42" s="8">
        <f t="shared" si="29"/>
        <v>0</v>
      </c>
      <c r="Q42" s="8">
        <f t="shared" si="29"/>
        <v>0</v>
      </c>
      <c r="R42" s="1"/>
      <c r="S42" s="1"/>
      <c r="T42" s="1"/>
      <c r="U42" s="1"/>
      <c r="V42" s="1"/>
      <c r="W42" s="1"/>
    </row>
    <row r="43" spans="1:23" ht="12.75" customHeight="1">
      <c r="A43" s="1" t="s">
        <v>100</v>
      </c>
      <c r="B43" s="2" t="s">
        <v>53</v>
      </c>
      <c r="C43" s="3">
        <f>IF((B43="YES"),FLOOR((E36*(C26/E36)*(C40/E36)*(C41/E36)*(C42/E36)),1),E36)</f>
        <v>384</v>
      </c>
      <c r="D43" s="3">
        <f>HLOOKUP(MATCH($D$2,Food!$B$1:$Z$1),Food!$B$2:$Z$37,36,TRUE)</f>
        <v>0</v>
      </c>
      <c r="E43" s="1"/>
      <c r="F43" s="1"/>
      <c r="G43" s="3">
        <f>SUM(C43:D43)</f>
        <v>384</v>
      </c>
      <c r="H43" s="1"/>
      <c r="I43" s="1"/>
      <c r="J43" s="1"/>
      <c r="K43" s="1" t="s">
        <v>301</v>
      </c>
      <c r="L43" s="8">
        <f aca="true" t="shared" si="30" ref="L43:Q43">L$40*L$77</f>
        <v>0</v>
      </c>
      <c r="M43" s="8">
        <f t="shared" si="30"/>
        <v>0</v>
      </c>
      <c r="N43" s="8">
        <f t="shared" si="30"/>
        <v>0</v>
      </c>
      <c r="O43" s="8">
        <f t="shared" si="30"/>
        <v>0</v>
      </c>
      <c r="P43" s="8">
        <f t="shared" si="30"/>
        <v>0</v>
      </c>
      <c r="Q43" s="8">
        <f t="shared" si="30"/>
        <v>0</v>
      </c>
      <c r="R43" s="1"/>
      <c r="S43" s="1"/>
      <c r="T43" s="1"/>
      <c r="U43" s="1"/>
      <c r="V43" s="1"/>
      <c r="W43" s="1"/>
    </row>
    <row r="44" spans="1:23" ht="12.75" customHeight="1">
      <c r="A44" s="1" t="s">
        <v>325</v>
      </c>
      <c r="B44" s="7"/>
      <c r="C44" s="1" t="s">
        <v>327</v>
      </c>
      <c r="D44" s="3">
        <f>FLOOR(SUM(D45:D48),1)</f>
        <v>0</v>
      </c>
      <c r="E44" s="1"/>
      <c r="F44" s="1"/>
      <c r="G44" s="1"/>
      <c r="H44" s="51" t="s">
        <v>442</v>
      </c>
      <c r="I44" s="7">
        <v>0</v>
      </c>
      <c r="J44" s="1"/>
      <c r="K44" s="1" t="s">
        <v>302</v>
      </c>
      <c r="L44" s="8">
        <f aca="true" t="shared" si="31" ref="L44:Q44">L$41*L$76</f>
        <v>0</v>
      </c>
      <c r="M44" s="8">
        <f t="shared" si="31"/>
        <v>0</v>
      </c>
      <c r="N44" s="8">
        <f t="shared" si="31"/>
        <v>0</v>
      </c>
      <c r="O44" s="8">
        <f t="shared" si="31"/>
        <v>0</v>
      </c>
      <c r="P44" s="8">
        <f t="shared" si="31"/>
        <v>0</v>
      </c>
      <c r="Q44" s="8">
        <f t="shared" si="31"/>
        <v>0</v>
      </c>
      <c r="R44" s="1"/>
      <c r="S44" s="1"/>
      <c r="T44" s="1"/>
      <c r="U44" s="1"/>
      <c r="V44" s="1"/>
      <c r="W44" s="1"/>
    </row>
    <row r="45" spans="1:23" ht="12.75" customHeight="1">
      <c r="A45" s="1" t="s">
        <v>197</v>
      </c>
      <c r="B45" s="27">
        <f>IF($B$2="MNK",VLOOKUP($B$4,JA!$B$27:$G$29,4,TRUE),IF($B$3="MNK",VLOOKUP($B$5,JA!$B$27:$G$29,4,TRUE),0))</f>
        <v>0</v>
      </c>
      <c r="C45" s="28">
        <f>IF($B$2="MNK",VLOOKUP($B$4,JA!$B$27:$G$29,6,TRUE),IF($B$3="MNK",VLOOKUP($B$5,JA!$B$27:$G$29,6,TRUE),0))</f>
        <v>0</v>
      </c>
      <c r="D45" s="50">
        <f>B45*C45</f>
        <v>0</v>
      </c>
      <c r="E45" s="1"/>
      <c r="F45" s="1"/>
      <c r="G45" s="1"/>
      <c r="H45" s="51" t="s">
        <v>407</v>
      </c>
      <c r="I45" s="7">
        <v>1</v>
      </c>
      <c r="J45" s="1"/>
      <c r="K45" s="1" t="s">
        <v>303</v>
      </c>
      <c r="L45" s="8">
        <f aca="true" t="shared" si="32" ref="L45:Q45">L$41*L$77</f>
        <v>0</v>
      </c>
      <c r="M45" s="8">
        <f t="shared" si="32"/>
        <v>0</v>
      </c>
      <c r="N45" s="8">
        <f t="shared" si="32"/>
        <v>0</v>
      </c>
      <c r="O45" s="8">
        <f t="shared" si="32"/>
        <v>0</v>
      </c>
      <c r="P45" s="8">
        <f t="shared" si="32"/>
        <v>0</v>
      </c>
      <c r="Q45" s="8">
        <f t="shared" si="32"/>
        <v>0</v>
      </c>
      <c r="R45" s="1"/>
      <c r="S45" s="1"/>
      <c r="T45" s="1"/>
      <c r="U45" s="1"/>
      <c r="V45" s="1"/>
      <c r="W45" s="1"/>
    </row>
    <row r="46" spans="1:23" ht="12.75" customHeight="1">
      <c r="A46" s="1" t="s">
        <v>185</v>
      </c>
      <c r="B46" s="27">
        <f>IF($B$2="DRK",VLOOKUP($B$4,JA!$B$17:$G$19,4,TRUE),IF($B$3="DRK",VLOOKUP($B$5,JA!$B$17:$G$19,4,TRUE),0))</f>
        <v>0</v>
      </c>
      <c r="C46" s="28">
        <f>IF($B$2="DRK",VLOOKUP($B$4,JA!$B$17:$G$19,6,TRUE),IF($B$3="DRK",VLOOKUP($B$5,JA!$B$17:$G$19,6,TRUE),0))</f>
        <v>0</v>
      </c>
      <c r="D46" s="50">
        <f>B46*C46</f>
        <v>0</v>
      </c>
      <c r="E46" s="11"/>
      <c r="F46" s="1"/>
      <c r="G46" s="26"/>
      <c r="H46" s="51" t="s">
        <v>338</v>
      </c>
      <c r="I46" s="1">
        <f>FLOOR((($I$52/$F$54)+(($I$52/180)*$B$39)+FLOOR($T$70,1)),1)</f>
        <v>96</v>
      </c>
      <c r="J46" s="1"/>
      <c r="K46" s="1" t="s">
        <v>304</v>
      </c>
      <c r="L46" s="5">
        <f aca="true" t="shared" si="33" ref="L46:Q46">IF($B$2="THF",((($G$20+L$11+L$24)*L$27)+$G$11)*L$76,0)</f>
        <v>0</v>
      </c>
      <c r="M46" s="5">
        <f t="shared" si="33"/>
        <v>0</v>
      </c>
      <c r="N46" s="5">
        <f t="shared" si="33"/>
        <v>0</v>
      </c>
      <c r="O46" s="5">
        <f t="shared" si="33"/>
        <v>0</v>
      </c>
      <c r="P46" s="5">
        <f t="shared" si="33"/>
        <v>0</v>
      </c>
      <c r="Q46" s="5">
        <f t="shared" si="33"/>
        <v>0</v>
      </c>
      <c r="R46" s="1"/>
      <c r="S46" s="1"/>
      <c r="T46" s="1"/>
      <c r="U46" s="1"/>
      <c r="V46" s="1"/>
      <c r="W46" s="1"/>
    </row>
    <row r="47" spans="1:23" ht="12.75" customHeight="1">
      <c r="A47" s="1" t="s">
        <v>186</v>
      </c>
      <c r="B47" s="27">
        <f>IF($B$2="DRK",VLOOKUP($B$4,JA!$B$20:$G$21,4,TRUE),0)</f>
        <v>0</v>
      </c>
      <c r="C47" s="28">
        <f>IF($B$2="DRK",VLOOKUP($B$4,JA!$B$20:$G$21,6,TRUE),0)</f>
        <v>0</v>
      </c>
      <c r="D47" s="50">
        <f>B47*C47</f>
        <v>0</v>
      </c>
      <c r="E47" s="1"/>
      <c r="F47" s="1"/>
      <c r="G47" s="1"/>
      <c r="H47" s="51" t="s">
        <v>383</v>
      </c>
      <c r="I47" s="1">
        <f>FLOOR(($I$52/$G$52)*(1+$G27+2*$G$28),1)</f>
        <v>657</v>
      </c>
      <c r="J47" s="1"/>
      <c r="K47" s="1" t="s">
        <v>305</v>
      </c>
      <c r="L47" s="5">
        <f aca="true" t="shared" si="34" ref="L47:Q47">IF($B$2="THF",((($G$20+L$11+L$24)*L$27)+$G$11)*L$77,0)</f>
        <v>0</v>
      </c>
      <c r="M47" s="5">
        <f t="shared" si="34"/>
        <v>0</v>
      </c>
      <c r="N47" s="5">
        <f t="shared" si="34"/>
        <v>0</v>
      </c>
      <c r="O47" s="5">
        <f t="shared" si="34"/>
        <v>0</v>
      </c>
      <c r="P47" s="5">
        <f t="shared" si="34"/>
        <v>0</v>
      </c>
      <c r="Q47" s="5">
        <f t="shared" si="34"/>
        <v>0</v>
      </c>
      <c r="R47" s="1"/>
      <c r="S47" s="1"/>
      <c r="T47" s="1"/>
      <c r="U47" s="1"/>
      <c r="V47" s="1"/>
      <c r="W47" s="1"/>
    </row>
    <row r="48" spans="1:23" ht="12.75" customHeight="1">
      <c r="A48" s="1" t="s">
        <v>221</v>
      </c>
      <c r="B48" s="27">
        <f>IF($B$2="WAR",VLOOKUP($B$4,JA!$B$77:$G$79,4,TRUE),0)</f>
        <v>0</v>
      </c>
      <c r="C48" s="28">
        <f>IF($B$2="WAR",VLOOKUP($B$4,JA!$B$77:$G$79,6,TRUE),0)</f>
        <v>0</v>
      </c>
      <c r="D48" s="50">
        <f>B48*C48</f>
        <v>0</v>
      </c>
      <c r="E48" s="1"/>
      <c r="F48" s="1"/>
      <c r="G48" s="8"/>
      <c r="H48" s="54" t="s">
        <v>384</v>
      </c>
      <c r="I48" s="22">
        <f>FLOOR($F$52+((($I$16-1)*(1+$G$24))*0.01),0.001)</f>
        <v>0.161</v>
      </c>
      <c r="J48" s="1"/>
      <c r="K48" s="1" t="s">
        <v>306</v>
      </c>
      <c r="L48" s="5">
        <f aca="true" t="shared" si="35" ref="L48:Q48">((($G$20+L$11+L$24)*L$27)+$G$9)*L$76</f>
        <v>319.05999999999995</v>
      </c>
      <c r="M48" s="5">
        <f t="shared" si="35"/>
        <v>393.88</v>
      </c>
      <c r="N48" s="5">
        <f t="shared" si="35"/>
        <v>334.53999999999996</v>
      </c>
      <c r="O48" s="5">
        <f t="shared" si="35"/>
        <v>319.05999999999995</v>
      </c>
      <c r="P48" s="5">
        <f t="shared" si="35"/>
        <v>319.05999999999995</v>
      </c>
      <c r="Q48" s="5">
        <f t="shared" si="35"/>
        <v>319.05999999999995</v>
      </c>
      <c r="R48" s="1"/>
      <c r="S48" s="1"/>
      <c r="T48" s="1"/>
      <c r="U48" s="1"/>
      <c r="V48" s="1"/>
      <c r="W48" s="1"/>
    </row>
    <row r="49" spans="1:23" ht="12.75" customHeight="1">
      <c r="A49" s="1" t="s">
        <v>215</v>
      </c>
      <c r="B49" s="9">
        <f>IF($B$2="SAM",VLOOKUP($B$4,'Job Traits'!$A$34:$C$35,3,TRUE),0)</f>
        <v>0</v>
      </c>
      <c r="C49" s="1" t="s">
        <v>180</v>
      </c>
      <c r="D49" s="9">
        <f>IF($B$2="DRK",IF($B$30="2HANDED",IF(VLOOKUP($B$4,'Job Traits'!$A$15:$C$16,3,TRUE)+$B$29&gt;0.25,0.25-$B$29,VLOOKUP($B$4,'Job Traits'!$A$15:$C$16,3,TRUE)),0),0)</f>
        <v>0</v>
      </c>
      <c r="E49" s="1"/>
      <c r="F49" s="1"/>
      <c r="G49" s="1"/>
      <c r="H49" s="1"/>
      <c r="I49" s="1"/>
      <c r="J49" s="1" t="s">
        <v>330</v>
      </c>
      <c r="K49" s="1" t="s">
        <v>307</v>
      </c>
      <c r="L49" s="5">
        <f aca="true" t="shared" si="36" ref="L49:Q49">((($G$20+L$11+L$24)*L$27)+$G$9)*L$77</f>
        <v>430</v>
      </c>
      <c r="M49" s="5">
        <f t="shared" si="36"/>
        <v>501.38</v>
      </c>
      <c r="N49" s="5">
        <f t="shared" si="36"/>
        <v>442.04</v>
      </c>
      <c r="O49" s="5">
        <f t="shared" si="36"/>
        <v>430</v>
      </c>
      <c r="P49" s="5">
        <f t="shared" si="36"/>
        <v>430</v>
      </c>
      <c r="Q49" s="5">
        <f t="shared" si="36"/>
        <v>430</v>
      </c>
      <c r="R49" s="1" t="s">
        <v>329</v>
      </c>
      <c r="S49" s="1" t="s">
        <v>331</v>
      </c>
      <c r="T49" s="1"/>
      <c r="U49" s="1"/>
      <c r="V49" s="1"/>
      <c r="W49" s="1"/>
    </row>
    <row r="50" spans="1:23" ht="12.75" customHeight="1">
      <c r="A50" s="1"/>
      <c r="B50" s="1"/>
      <c r="C50" s="1"/>
      <c r="D50" s="1"/>
      <c r="E50" s="1"/>
      <c r="F50" s="1"/>
      <c r="G50" s="1"/>
      <c r="H50" s="1"/>
      <c r="I50" s="1"/>
      <c r="J50" s="4">
        <f>FLOOR(((L50*L$9)+(M50*M$9)+(N50*N$9)+(O50*O$9)),1)</f>
        <v>0</v>
      </c>
      <c r="K50" s="1" t="s">
        <v>315</v>
      </c>
      <c r="L50" s="1">
        <f aca="true" t="shared" si="37" ref="L50:Q50">FLOOR(AVERAGE(L$42:L$43)*L$2+L$6,1)</f>
        <v>0</v>
      </c>
      <c r="M50" s="1">
        <f t="shared" si="37"/>
        <v>0</v>
      </c>
      <c r="N50" s="1">
        <f t="shared" si="37"/>
        <v>0</v>
      </c>
      <c r="O50" s="1">
        <f t="shared" si="37"/>
        <v>0</v>
      </c>
      <c r="P50" s="1">
        <f t="shared" si="37"/>
        <v>0</v>
      </c>
      <c r="Q50" s="1">
        <f t="shared" si="37"/>
        <v>0</v>
      </c>
      <c r="R50" s="1">
        <f>IF($B$2="THF",FLOOR($I$52/VLOOKUP($B$4,JA!$B$53:$C$55,2),1),IF($B$3="THF",FLOOR(Setup1!$I$52/VLOOKUP($B$5,JA!$B$53:$C$55,2),1),0))</f>
        <v>0</v>
      </c>
      <c r="S50" s="1">
        <f>IF($D$51="SAWS",0,J50*R50)</f>
        <v>0</v>
      </c>
      <c r="T50" s="1"/>
      <c r="U50" s="1"/>
      <c r="V50" s="1"/>
      <c r="W50" s="1"/>
    </row>
    <row r="51" spans="1:23" ht="12.75" customHeight="1">
      <c r="A51" s="51" t="s">
        <v>333</v>
      </c>
      <c r="B51" s="51" t="s">
        <v>76</v>
      </c>
      <c r="C51" s="51" t="s">
        <v>77</v>
      </c>
      <c r="D51" s="55" t="s">
        <v>336</v>
      </c>
      <c r="E51" s="51" t="s">
        <v>337</v>
      </c>
      <c r="F51" s="51" t="s">
        <v>78</v>
      </c>
      <c r="G51" s="52" t="s">
        <v>431</v>
      </c>
      <c r="H51" s="51" t="s">
        <v>79</v>
      </c>
      <c r="I51" s="51" t="s">
        <v>80</v>
      </c>
      <c r="J51" s="4">
        <f>FLOOR(((L51*L$9)+(M51*M$9)+(N51*N$9)+(O51*O$9)),1)</f>
        <v>0</v>
      </c>
      <c r="K51" s="1" t="s">
        <v>316</v>
      </c>
      <c r="L51" s="1">
        <f aca="true" t="shared" si="38" ref="L51:Q51">IF($B$30="DW",FLOOR(AVERAGE(L$44:L$45)*L$2+L$6,1),FLOOR(AVERAGE(L$44:L$45)*L$2,1))</f>
        <v>0</v>
      </c>
      <c r="M51" s="1">
        <f t="shared" si="38"/>
        <v>0</v>
      </c>
      <c r="N51" s="1">
        <f t="shared" si="38"/>
        <v>0</v>
      </c>
      <c r="O51" s="1">
        <f t="shared" si="38"/>
        <v>0</v>
      </c>
      <c r="P51" s="1">
        <f t="shared" si="38"/>
        <v>0</v>
      </c>
      <c r="Q51" s="1">
        <f t="shared" si="38"/>
        <v>0</v>
      </c>
      <c r="R51" s="1">
        <f>IF($B$2="THF",FLOOR($I$52/VLOOKUP($B$4,JA!$B$56:$C$58,2),1),0)</f>
        <v>0</v>
      </c>
      <c r="S51" s="1">
        <f>IF($D$51="TAWS",0,J51*R51)</f>
        <v>0</v>
      </c>
      <c r="T51" s="1"/>
      <c r="U51" s="1"/>
      <c r="V51" s="1"/>
      <c r="W51" s="1"/>
    </row>
    <row r="52" spans="1:23" ht="12.75" customHeight="1">
      <c r="A52" s="11">
        <f>IF($B$30="DW",SUM($J$3,$J$5),$J$3)</f>
        <v>119</v>
      </c>
      <c r="B52" s="11">
        <f>IF($B$30="DW",SUM($J$4,$J$6),$J$4)</f>
        <v>245</v>
      </c>
      <c r="C52" s="11">
        <f>$J$7</f>
        <v>751</v>
      </c>
      <c r="D52" s="29">
        <f>IF(D51="SAWS",J52,IF(D51="TAWS",J53,0))</f>
        <v>0</v>
      </c>
      <c r="E52" s="29">
        <f>IF(D51="SAWS",IF($R$52&gt;$I$46,$I$46,$R$52),IF(D51="TAWS",IF($R$53&gt;$I$46,$I$46,$R$53),0))</f>
        <v>0</v>
      </c>
      <c r="F52" s="30">
        <f>IF($B$30="DW",FLOOR((VLOOKUP($G$21,'Reference Tables'!$A$51:$C$55,3,TRUE)*(1+$G$24)),0.001)*2,FLOOR((VLOOKUP($G$21,'Reference Tables'!$A$51:$C$55,3,TRUE)*(1+$G$24)),0.001))</f>
        <v>0.13</v>
      </c>
      <c r="G52" s="31">
        <f>IF($B$30="DW",(($G$21*(1-$G$29))/60)*2,(($G$21*(1-$G$29))/60))</f>
        <v>6.24</v>
      </c>
      <c r="H52" s="11">
        <f>CEILING((($I$45-$I$48)/$F$52),1)+1</f>
        <v>8</v>
      </c>
      <c r="I52" s="2">
        <v>3600</v>
      </c>
      <c r="J52" s="4">
        <f>FLOOR(((L52*L$9)+(M52*M$9)+(N52*N$9)+(O52*O$9)),1)</f>
        <v>0</v>
      </c>
      <c r="K52" s="1" t="s">
        <v>317</v>
      </c>
      <c r="L52" s="1">
        <f aca="true" t="shared" si="39" ref="L52:Q52">IF($B$2="THF",IF($I$17="YES",FLOOR((AVERAGE(L$48:L$49)*L$2),1)+L$38*L$2+FLOOR(L$6*$G$32+L$5*(1-$G$32),1),FLOOR((AVERAGE(L$48:L$49)*L$2),1)+L$38*L$2+L$5),IF($B$3="THF",FLOOR((L$36+L$38)*L$2,1),0))</f>
        <v>0</v>
      </c>
      <c r="M52" s="1">
        <f t="shared" si="39"/>
        <v>0</v>
      </c>
      <c r="N52" s="1">
        <f t="shared" si="39"/>
        <v>0</v>
      </c>
      <c r="O52" s="1">
        <f t="shared" si="39"/>
        <v>0</v>
      </c>
      <c r="P52" s="1">
        <f t="shared" si="39"/>
        <v>0</v>
      </c>
      <c r="Q52" s="1">
        <f t="shared" si="39"/>
        <v>0</v>
      </c>
      <c r="R52" s="1">
        <f>IF($B$2="THF",FLOOR($I$52/VLOOKUP($B$4,JA!$B$53:$C$55,2),1),IF($B$3="THF",FLOOR(Setup1!$I$52/VLOOKUP($B$5,JA!$B$53:$C$55,2),1),0))</f>
        <v>0</v>
      </c>
      <c r="S52" s="1"/>
      <c r="T52" s="1"/>
      <c r="U52" s="1"/>
      <c r="V52" s="1"/>
      <c r="W52" s="1"/>
    </row>
    <row r="53" spans="1:23" ht="12.75" customHeight="1">
      <c r="A53" s="51" t="s">
        <v>404</v>
      </c>
      <c r="B53" s="51" t="s">
        <v>81</v>
      </c>
      <c r="C53" s="51" t="s">
        <v>82</v>
      </c>
      <c r="D53" s="51" t="s">
        <v>83</v>
      </c>
      <c r="E53" s="51" t="s">
        <v>340</v>
      </c>
      <c r="F53" s="51" t="s">
        <v>85</v>
      </c>
      <c r="G53" s="51" t="s">
        <v>84</v>
      </c>
      <c r="H53" s="51" t="s">
        <v>86</v>
      </c>
      <c r="I53" s="51" t="s">
        <v>87</v>
      </c>
      <c r="J53" s="4">
        <f>FLOOR(((L53*L$9)+(M53*M$9)+(N53*N$9)+(O53*O$9)),1)</f>
        <v>0</v>
      </c>
      <c r="K53" s="1" t="s">
        <v>318</v>
      </c>
      <c r="L53" s="1">
        <f aca="true" t="shared" si="40" ref="L53:Q53">IF($B$2="THF",IF($I$17="YES",FLOOR((AVERAGE(L$46:L$47)*L$2),1)+L$38*L$2+FLOOR(L$6*$G$32+L$5*(1-$G$32),1),FLOOR((AVERAGE(L$46:L$47)*L$2),1)+L$38*L$2+L$5),0)</f>
        <v>0</v>
      </c>
      <c r="M53" s="1">
        <f t="shared" si="40"/>
        <v>0</v>
      </c>
      <c r="N53" s="1">
        <f t="shared" si="40"/>
        <v>0</v>
      </c>
      <c r="O53" s="1">
        <f t="shared" si="40"/>
        <v>0</v>
      </c>
      <c r="P53" s="1">
        <f t="shared" si="40"/>
        <v>0</v>
      </c>
      <c r="Q53" s="1">
        <f t="shared" si="40"/>
        <v>0</v>
      </c>
      <c r="R53" s="1">
        <f>IF($B$2="THF",FLOOR($I$52/VLOOKUP($B$4,JA!$B$56:$C$58,2),1),0)</f>
        <v>0</v>
      </c>
      <c r="S53" s="1"/>
      <c r="T53" s="1"/>
      <c r="U53" s="1"/>
      <c r="V53" s="1"/>
      <c r="W53" s="1"/>
    </row>
    <row r="54" spans="1:23" ht="12.75" customHeight="1">
      <c r="A54" s="2">
        <v>10</v>
      </c>
      <c r="B54" s="11">
        <f>FLOOR((($B$52*$G$32)+($A$52*(1-$G$32))),1)+$A$54</f>
        <v>140</v>
      </c>
      <c r="C54" s="11">
        <f>FLOOR($I$47*$G$37,1)</f>
        <v>624</v>
      </c>
      <c r="D54" s="11">
        <f>$B$54*$C$54</f>
        <v>87360</v>
      </c>
      <c r="E54" s="29">
        <f>$E$52*$D$52</f>
        <v>0</v>
      </c>
      <c r="F54" s="32">
        <f>($H$52-1)*$G$54</f>
        <v>40.38461538461539</v>
      </c>
      <c r="G54" s="32">
        <f>$I$52/$C$54</f>
        <v>5.769230769230769</v>
      </c>
      <c r="H54" s="11">
        <f>$I$46-$E$52</f>
        <v>96</v>
      </c>
      <c r="I54" s="11">
        <f>$H$54*$C$52</f>
        <v>72096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>
      <c r="A55" s="1"/>
      <c r="B55" s="1"/>
      <c r="C55" s="1"/>
      <c r="D55" s="11"/>
      <c r="E55" s="1"/>
      <c r="F55" s="1"/>
      <c r="G55" s="1"/>
      <c r="H55" s="1"/>
      <c r="I55" s="1"/>
      <c r="K55" s="1" t="s">
        <v>308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>
      <c r="A56" s="51" t="s">
        <v>88</v>
      </c>
      <c r="B56" s="51" t="s">
        <v>89</v>
      </c>
      <c r="C56" s="51" t="s">
        <v>82</v>
      </c>
      <c r="D56" s="51" t="s">
        <v>328</v>
      </c>
      <c r="E56" s="51" t="s">
        <v>90</v>
      </c>
      <c r="F56" s="51" t="s">
        <v>91</v>
      </c>
      <c r="G56" s="51" t="s">
        <v>341</v>
      </c>
      <c r="H56" s="51" t="s">
        <v>87</v>
      </c>
      <c r="I56" s="51" t="s">
        <v>92</v>
      </c>
      <c r="K56" s="1" t="s">
        <v>13</v>
      </c>
      <c r="L56" s="1">
        <f aca="true" t="shared" si="41" ref="L56:Q56">FLOOR(($C$22+L11),1)</f>
        <v>7</v>
      </c>
      <c r="M56" s="1">
        <f t="shared" si="41"/>
        <v>7</v>
      </c>
      <c r="N56" s="1">
        <f t="shared" si="41"/>
        <v>7</v>
      </c>
      <c r="O56" s="1">
        <f t="shared" si="41"/>
        <v>7</v>
      </c>
      <c r="P56" s="1">
        <f t="shared" si="41"/>
        <v>7</v>
      </c>
      <c r="Q56" s="1">
        <f t="shared" si="41"/>
        <v>7</v>
      </c>
      <c r="R56" s="1"/>
      <c r="S56" s="1"/>
      <c r="T56" s="1"/>
      <c r="U56" s="1"/>
      <c r="V56" s="1"/>
      <c r="W56" s="1"/>
    </row>
    <row r="57" spans="1:23" ht="12.75" customHeight="1">
      <c r="A57" s="1" t="s">
        <v>237</v>
      </c>
      <c r="B57" s="33">
        <f>Setup1!$B$54</f>
        <v>117</v>
      </c>
      <c r="C57" s="33">
        <f>Setup1!$C$54</f>
        <v>650</v>
      </c>
      <c r="D57" s="33">
        <f>Setup1!$S$70</f>
        <v>7106</v>
      </c>
      <c r="E57" s="33">
        <f>Setup1!$D$54</f>
        <v>76050</v>
      </c>
      <c r="F57" s="33">
        <f>Setup1!$C$52</f>
        <v>626</v>
      </c>
      <c r="G57" s="33">
        <f>Setup1!$E$54</f>
        <v>0</v>
      </c>
      <c r="H57" s="33">
        <f>Setup1!$I$54</f>
        <v>80128</v>
      </c>
      <c r="I57" s="33">
        <f>SUM($D$57:$E$57,$G$57:$H$57)</f>
        <v>163284</v>
      </c>
      <c r="K57" s="1" t="s">
        <v>40</v>
      </c>
      <c r="L57" s="8">
        <f aca="true" t="shared" si="42" ref="L57:Q57">L$56*L$15</f>
        <v>3.387999999999998</v>
      </c>
      <c r="M57" s="8">
        <f t="shared" si="42"/>
        <v>5.823999999999999</v>
      </c>
      <c r="N57" s="8">
        <f t="shared" si="42"/>
        <v>3.8919999999999986</v>
      </c>
      <c r="O57" s="8">
        <f t="shared" si="42"/>
        <v>3.387999999999998</v>
      </c>
      <c r="P57" s="8">
        <f t="shared" si="42"/>
        <v>3.387999999999998</v>
      </c>
      <c r="Q57" s="8">
        <f t="shared" si="42"/>
        <v>3.387999999999998</v>
      </c>
      <c r="R57" s="1"/>
      <c r="S57" s="1"/>
      <c r="T57" s="1"/>
      <c r="U57" s="1"/>
      <c r="V57" s="1"/>
      <c r="W57" s="1"/>
    </row>
    <row r="58" spans="1:23" ht="12.75" customHeight="1">
      <c r="A58" s="1" t="s">
        <v>238</v>
      </c>
      <c r="B58" s="33">
        <f>Setup2!$B$54</f>
        <v>140</v>
      </c>
      <c r="C58" s="33">
        <f>Setup2!$C$54</f>
        <v>624</v>
      </c>
      <c r="D58" s="33">
        <f>Setup2!$S$70</f>
        <v>8683</v>
      </c>
      <c r="E58" s="33">
        <f>Setup2!$D$54</f>
        <v>87360</v>
      </c>
      <c r="F58" s="33">
        <f>Setup2!$C$52</f>
        <v>751</v>
      </c>
      <c r="G58" s="33">
        <f>Setup2!$E$54</f>
        <v>0</v>
      </c>
      <c r="H58" s="33">
        <f>Setup2!$I$54</f>
        <v>72096</v>
      </c>
      <c r="I58" s="33">
        <f>SUM($D$58:$E$58,$G$58:$H$58)</f>
        <v>168139</v>
      </c>
      <c r="K58" s="1" t="s">
        <v>42</v>
      </c>
      <c r="L58" s="8">
        <f aca="true" t="shared" si="43" ref="L58:Q58">L$56*L$16</f>
        <v>7</v>
      </c>
      <c r="M58" s="8">
        <f t="shared" si="43"/>
        <v>9.323999999999998</v>
      </c>
      <c r="N58" s="8">
        <f t="shared" si="43"/>
        <v>7.391999999999999</v>
      </c>
      <c r="O58" s="8">
        <f t="shared" si="43"/>
        <v>7</v>
      </c>
      <c r="P58" s="8">
        <f t="shared" si="43"/>
        <v>7</v>
      </c>
      <c r="Q58" s="8">
        <f t="shared" si="43"/>
        <v>7</v>
      </c>
      <c r="R58" s="1"/>
      <c r="S58" s="1"/>
      <c r="T58" s="1"/>
      <c r="U58" s="1"/>
      <c r="V58" s="1"/>
      <c r="W58" s="1"/>
    </row>
    <row r="59" spans="1:23" ht="12.75" customHeight="1">
      <c r="A59" s="1"/>
      <c r="B59" s="1"/>
      <c r="C59" s="1"/>
      <c r="D59" s="1"/>
      <c r="E59" s="1"/>
      <c r="K59" s="1" t="s">
        <v>44</v>
      </c>
      <c r="L59" s="8">
        <f aca="true" t="shared" si="44" ref="L59:Q59">AVERAGE(L57:L58)</f>
        <v>5.193999999999999</v>
      </c>
      <c r="M59" s="8">
        <f t="shared" si="44"/>
        <v>7.573999999999998</v>
      </c>
      <c r="N59" s="8">
        <f t="shared" si="44"/>
        <v>5.641999999999999</v>
      </c>
      <c r="O59" s="8">
        <f t="shared" si="44"/>
        <v>5.193999999999999</v>
      </c>
      <c r="P59" s="8">
        <f t="shared" si="44"/>
        <v>5.193999999999999</v>
      </c>
      <c r="Q59" s="8">
        <f t="shared" si="44"/>
        <v>5.193999999999999</v>
      </c>
      <c r="R59" s="1"/>
      <c r="S59" s="1"/>
      <c r="T59" s="1"/>
      <c r="U59" s="1"/>
      <c r="V59" s="1"/>
      <c r="W59" s="1"/>
    </row>
    <row r="60" spans="4:23" ht="12.75" customHeight="1">
      <c r="D60" s="1"/>
      <c r="E60" s="1"/>
      <c r="K60" s="1" t="s">
        <v>46</v>
      </c>
      <c r="L60" s="8">
        <f aca="true" t="shared" si="45" ref="L60:Q60">L$56*L$17</f>
        <v>10.387999999999998</v>
      </c>
      <c r="M60" s="8">
        <f t="shared" si="45"/>
        <v>12.823999999999998</v>
      </c>
      <c r="N60" s="8">
        <f t="shared" si="45"/>
        <v>10.892</v>
      </c>
      <c r="O60" s="8">
        <f t="shared" si="45"/>
        <v>10.387999999999998</v>
      </c>
      <c r="P60" s="8">
        <f t="shared" si="45"/>
        <v>10.387999999999998</v>
      </c>
      <c r="Q60" s="8">
        <f t="shared" si="45"/>
        <v>10.387999999999998</v>
      </c>
      <c r="R60" s="1"/>
      <c r="S60" s="1"/>
      <c r="T60" s="1"/>
      <c r="U60" s="1"/>
      <c r="V60" s="1"/>
      <c r="W60" s="1"/>
    </row>
    <row r="61" spans="4:23" ht="12.75" customHeight="1">
      <c r="D61" s="1"/>
      <c r="E61" s="1"/>
      <c r="K61" s="1" t="s">
        <v>48</v>
      </c>
      <c r="L61" s="8">
        <f aca="true" t="shared" si="46" ref="L61:Q61">L$56*L$18</f>
        <v>14</v>
      </c>
      <c r="M61" s="8">
        <f t="shared" si="46"/>
        <v>16.323999999999998</v>
      </c>
      <c r="N61" s="8">
        <f t="shared" si="46"/>
        <v>14.392</v>
      </c>
      <c r="O61" s="8">
        <f t="shared" si="46"/>
        <v>14</v>
      </c>
      <c r="P61" s="8">
        <f t="shared" si="46"/>
        <v>14</v>
      </c>
      <c r="Q61" s="8">
        <f t="shared" si="46"/>
        <v>14</v>
      </c>
      <c r="R61" s="1"/>
      <c r="S61" s="1"/>
      <c r="T61" s="1"/>
      <c r="U61" s="1"/>
      <c r="V61" s="1"/>
      <c r="W61" s="1"/>
    </row>
    <row r="62" spans="4:23" ht="12.75" customHeight="1">
      <c r="D62" s="1"/>
      <c r="E62" s="1"/>
      <c r="F62" s="1"/>
      <c r="G62" s="1"/>
      <c r="H62" s="1"/>
      <c r="I62" s="1"/>
      <c r="J62" s="1"/>
      <c r="K62" s="44" t="s">
        <v>319</v>
      </c>
      <c r="L62" s="1"/>
      <c r="M62" s="1"/>
      <c r="N62" s="1"/>
      <c r="O62" s="1"/>
      <c r="P62" s="1"/>
      <c r="Q62" s="1"/>
      <c r="R62" s="1"/>
      <c r="S62" s="1"/>
      <c r="T62" s="1" t="s">
        <v>332</v>
      </c>
      <c r="U62" s="1"/>
      <c r="V62" s="1"/>
      <c r="W62" s="1"/>
    </row>
    <row r="63" spans="1:2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 t="s">
        <v>180</v>
      </c>
      <c r="L63" s="1"/>
      <c r="M63" s="1"/>
      <c r="O63" s="1">
        <f>FLOOR(O3*(1-$G$32)+O4*$G$32,1)</f>
        <v>104</v>
      </c>
      <c r="P63" s="1"/>
      <c r="Q63" s="1"/>
      <c r="R63" s="1">
        <f>CEILING($S$41,1)</f>
        <v>0</v>
      </c>
      <c r="S63" s="1">
        <f>O63*R63</f>
        <v>0</v>
      </c>
      <c r="T63" s="22">
        <f>FLOOR($F$52*R63*$G$37,0.001)</f>
        <v>0</v>
      </c>
      <c r="U63" s="1"/>
      <c r="V63" s="1"/>
      <c r="W63" s="1"/>
    </row>
    <row r="64" spans="1:23" ht="12.75" customHeight="1">
      <c r="A64" s="1"/>
      <c r="B64" s="1"/>
      <c r="C64" s="1"/>
      <c r="D64" s="1"/>
      <c r="E64" s="1"/>
      <c r="F64" s="1"/>
      <c r="G64" s="1"/>
      <c r="H64" s="1"/>
      <c r="I64" s="1"/>
      <c r="J64" s="4">
        <f aca="true" t="shared" si="47" ref="J64:J69">FLOOR(((L64*L$9)+(M64*M$9)+(N64*N$9)+(O64*O$9)),1)</f>
        <v>169</v>
      </c>
      <c r="K64" s="1" t="s">
        <v>170</v>
      </c>
      <c r="L64" s="1">
        <f aca="true" t="shared" si="48" ref="L64:Q64">IF($B$2="DRG",FLOOR(AVERAGE(FLOOR(((L$8)*($G$10/256+1))*L$2,1)*L$15,FLOOR(((L$8)*($G$10/256+1))*L$2,1)*L$16)*(1-$G$32)+AVERAGE(FLOOR(((L$8)*($G$10/256+1))*L$2,1)*L$17,FLOOR(((L$8)*($G$10/256+1))*L$2,1)*L$18)*$G$32,1),IF($B$3="DRG",FLOOR(AVERAGE(FLOOR(((L$8)*($G$10/256+1))*L$2,1)*L$15,FLOOR(((L$8)*($G$10/256+1))*L$2,1)*L$16)*(1-$G$32)+AVERAGE(FLOOR(((L$8)*($G$10/256+1))*L$2,1)*L$17,FLOOR(((L$8)*($G$10/256+1))*L$2,1)*L$18)*$G$32,1),0))</f>
        <v>135</v>
      </c>
      <c r="M64" s="1">
        <f t="shared" si="48"/>
        <v>191</v>
      </c>
      <c r="N64" s="1">
        <f t="shared" si="48"/>
        <v>146</v>
      </c>
      <c r="O64" s="1">
        <f t="shared" si="48"/>
        <v>135</v>
      </c>
      <c r="P64" s="1">
        <f t="shared" si="48"/>
        <v>135</v>
      </c>
      <c r="Q64" s="1">
        <f t="shared" si="48"/>
        <v>135</v>
      </c>
      <c r="R64" s="1">
        <f>IF($B$2="DRG",FLOOR($I$52/VLOOKUP($B$4,JA!$B$3:$C$5,2),1),IF($B$3="DRG",FLOOR(Setup1!$I$52/VLOOKUP($B$5,JA!$B$3:$C$5,2),1),0))</f>
        <v>40</v>
      </c>
      <c r="S64" s="1">
        <f>FLOOR(J64*R64*$G$37,1)</f>
        <v>6422</v>
      </c>
      <c r="T64" s="22">
        <f>FLOOR($F$52*R64*$G$37,0.001)</f>
        <v>4.94</v>
      </c>
      <c r="U64" s="1"/>
      <c r="V64" s="1"/>
      <c r="W64" s="1"/>
    </row>
    <row r="65" spans="1:23" ht="12.75" customHeight="1">
      <c r="A65" s="1"/>
      <c r="B65" s="1"/>
      <c r="C65" s="1"/>
      <c r="D65" s="1"/>
      <c r="E65" s="1"/>
      <c r="F65" s="1"/>
      <c r="G65" s="1"/>
      <c r="H65" s="1"/>
      <c r="I65" s="1"/>
      <c r="J65" s="4">
        <f t="shared" si="47"/>
        <v>119</v>
      </c>
      <c r="K65" s="1" t="s">
        <v>173</v>
      </c>
      <c r="L65" s="1">
        <f aca="true" t="shared" si="49" ref="L65:Q65">IF($B$2="DRG",L$3,IF($B$3="DRG",L$3,0))</f>
        <v>93</v>
      </c>
      <c r="M65" s="1">
        <f t="shared" si="49"/>
        <v>136</v>
      </c>
      <c r="N65" s="1">
        <f t="shared" si="49"/>
        <v>101</v>
      </c>
      <c r="O65" s="1">
        <f t="shared" si="49"/>
        <v>93</v>
      </c>
      <c r="P65" s="1">
        <f t="shared" si="49"/>
        <v>93</v>
      </c>
      <c r="Q65" s="1">
        <f t="shared" si="49"/>
        <v>93</v>
      </c>
      <c r="R65" s="1">
        <f>IF($B$2="DRG",FLOOR($I$52/VLOOKUP($B$4,JA!$B$6:$C$8,2),1),IF($B$3="DRG",FLOOR(Setup1!$I$52/VLOOKUP($B$5,JA!$B$6:$C$8,2),1),0))</f>
        <v>20</v>
      </c>
      <c r="S65" s="1">
        <f>FLOOR(J65*R65*$G$37,1)</f>
        <v>2261</v>
      </c>
      <c r="T65" s="22">
        <f>FLOOR($F$52*R65*$G$37,0.001)</f>
        <v>2.47</v>
      </c>
      <c r="U65" s="1"/>
      <c r="V65" s="1"/>
      <c r="W65" s="1"/>
    </row>
    <row r="66" spans="1:23" ht="12.75" customHeight="1">
      <c r="A66" s="1"/>
      <c r="B66" s="1"/>
      <c r="C66" s="1"/>
      <c r="D66" s="1"/>
      <c r="E66" s="1"/>
      <c r="F66" s="1"/>
      <c r="G66" s="1"/>
      <c r="H66" s="1"/>
      <c r="I66" s="1"/>
      <c r="J66" s="4">
        <f t="shared" si="47"/>
        <v>0</v>
      </c>
      <c r="K66" s="1" t="s">
        <v>182</v>
      </c>
      <c r="L66" s="1">
        <f aca="true" t="shared" si="50" ref="L66:Q66">IF($B$2="DRK",FLOOR(L$3*0.1,1),IF($B$3="DRK",FLOOR(L$3*0.1,1),0))</f>
        <v>0</v>
      </c>
      <c r="M66" s="1">
        <f t="shared" si="50"/>
        <v>0</v>
      </c>
      <c r="N66" s="1">
        <f t="shared" si="50"/>
        <v>0</v>
      </c>
      <c r="O66" s="1">
        <f t="shared" si="50"/>
        <v>0</v>
      </c>
      <c r="P66" s="1">
        <f t="shared" si="50"/>
        <v>0</v>
      </c>
      <c r="Q66" s="1">
        <f t="shared" si="50"/>
        <v>0</v>
      </c>
      <c r="R66" s="1">
        <f>IF($B$2="DRK",FLOOR($I$52/VLOOKUP($B$4,JA!$B$14:$C$16,2),1),IF($B$3="DRK",FLOOR(Setup1!$I$52/VLOOKUP($B$5,JA!$B$14:$C$16,2),1),0))</f>
        <v>0</v>
      </c>
      <c r="S66" s="1">
        <f>J66*R66</f>
        <v>0</v>
      </c>
      <c r="T66" s="22"/>
      <c r="U66" s="1"/>
      <c r="V66" s="1"/>
      <c r="W66" s="1"/>
    </row>
    <row r="67" spans="1:23" ht="12.75" customHeight="1">
      <c r="A67" s="1"/>
      <c r="B67" s="1"/>
      <c r="C67" s="1"/>
      <c r="D67" s="1"/>
      <c r="E67" s="1"/>
      <c r="F67" s="1"/>
      <c r="G67" s="1"/>
      <c r="H67" s="1"/>
      <c r="I67" s="1"/>
      <c r="J67" s="4">
        <f t="shared" si="47"/>
        <v>0</v>
      </c>
      <c r="K67" s="1" t="s">
        <v>185</v>
      </c>
      <c r="L67" s="1">
        <f>IF($B$2="DRK",VLOOKUP(JA!$D$18,JA!$J$2:$M$34,4),IF($B$3="DRK",FLOOR(VLOOKUP(JA!$D$18,JA!$J$2:$M$34,4)/2,1),0))</f>
        <v>0</v>
      </c>
      <c r="M67" s="1">
        <f>IF($B$2="DRK",VLOOKUP(JA!$D$18,JA!$J$2:$M$34,4),IF($B$3="DRK",FLOOR(VLOOKUP(JA!$D$18,JA!$J$2:$M$34,4)/2,1),0))</f>
        <v>0</v>
      </c>
      <c r="N67" s="1">
        <f>IF($B$2="DRK",VLOOKUP(JA!$D$18,JA!$J$2:$M$34,4),IF($B$3="DRK",FLOOR(VLOOKUP(JA!$D$18,JA!$J$2:$M$34,4)/2,1),0))</f>
        <v>0</v>
      </c>
      <c r="O67" s="1">
        <f>IF($B$2="DRK",VLOOKUP(JA!$D$18,JA!$J$2:$M$34,4),IF($B$3="DRK",FLOOR(VLOOKUP(JA!$D$18,JA!$J$2:$M$34,4)/2,1),0))</f>
        <v>0</v>
      </c>
      <c r="P67" s="1">
        <f>IF($B$2="DRK",VLOOKUP(JA!$D$18,JA!$J$2:$M$34,4),IF($B$3="DRK",FLOOR(VLOOKUP(JA!$D$18,JA!$J$2:$M$34,4)/2,1),0))</f>
        <v>0</v>
      </c>
      <c r="Q67" s="1">
        <f>IF($B$2="DRK",VLOOKUP(JA!$D$18,JA!$J$2:$M$34,4),IF($B$3="DRK",FLOOR(VLOOKUP(JA!$D$18,JA!$J$2:$M$34,4)/2,1),0))</f>
        <v>0</v>
      </c>
      <c r="R67" s="1">
        <f>IF($B$2="DRK",FLOOR($I$52/VLOOKUP($B$4,JA!$B$17:$C$19,2),1),IF($B$3="DRK",FLOOR(Setup1!$I$52/VLOOKUP($B$5,JA!$B$17:$C$19,2),1),0))</f>
        <v>0</v>
      </c>
      <c r="S67" s="1">
        <f>J67*R67</f>
        <v>0</v>
      </c>
      <c r="T67" s="22"/>
      <c r="U67" s="1"/>
      <c r="V67" s="1"/>
      <c r="W67" s="1"/>
    </row>
    <row r="68" spans="1:23" ht="12.75" customHeight="1">
      <c r="A68" s="1"/>
      <c r="B68" s="1"/>
      <c r="C68" s="1"/>
      <c r="D68" s="1"/>
      <c r="E68" s="1"/>
      <c r="F68" s="1"/>
      <c r="G68" s="1"/>
      <c r="H68" s="1"/>
      <c r="I68" s="1"/>
      <c r="J68" s="4">
        <f t="shared" si="47"/>
        <v>0</v>
      </c>
      <c r="K68" s="1" t="s">
        <v>204</v>
      </c>
      <c r="L68" s="1">
        <f aca="true" t="shared" si="51" ref="L68:Q68">IF($B$2="PLD",FLOOR(L$3*0.1,1),IF($B$3="PLD",FLOOR(L$3*0.1,1),0))</f>
        <v>0</v>
      </c>
      <c r="M68" s="1">
        <f t="shared" si="51"/>
        <v>0</v>
      </c>
      <c r="N68" s="1">
        <f t="shared" si="51"/>
        <v>0</v>
      </c>
      <c r="O68" s="1">
        <f t="shared" si="51"/>
        <v>0</v>
      </c>
      <c r="P68" s="1">
        <f t="shared" si="51"/>
        <v>0</v>
      </c>
      <c r="Q68" s="1">
        <f t="shared" si="51"/>
        <v>0</v>
      </c>
      <c r="R68" s="1">
        <f>IF($B$2="PLD",FLOOR($I$52/VLOOKUP($B$4,JA!$B$35:$C$37,2),1),IF($B$3="PLD",FLOOR(Setup1!$I$52/VLOOKUP($B$5,JA!$B$35:$C$37,2),1),0))</f>
        <v>0</v>
      </c>
      <c r="S68" s="1">
        <f>J68*R68</f>
        <v>0</v>
      </c>
      <c r="T68" s="22"/>
      <c r="U68" s="1"/>
      <c r="V68" s="1"/>
      <c r="W68" s="1"/>
    </row>
    <row r="69" spans="1:23" ht="12.75" customHeight="1">
      <c r="A69" s="1"/>
      <c r="B69" s="1"/>
      <c r="C69" s="1"/>
      <c r="D69" s="1"/>
      <c r="E69" s="1"/>
      <c r="F69" s="1"/>
      <c r="G69" s="1"/>
      <c r="H69" s="1"/>
      <c r="I69" s="1"/>
      <c r="J69" s="4">
        <f t="shared" si="47"/>
        <v>0</v>
      </c>
      <c r="K69" s="1" t="s">
        <v>198</v>
      </c>
      <c r="L69" s="1">
        <f aca="true" t="shared" si="52" ref="L69:Q69">IF($B$2="MNK",$G$13*2,0)</f>
        <v>0</v>
      </c>
      <c r="M69" s="1">
        <f t="shared" si="52"/>
        <v>0</v>
      </c>
      <c r="N69" s="1">
        <f t="shared" si="52"/>
        <v>0</v>
      </c>
      <c r="O69" s="1">
        <f t="shared" si="52"/>
        <v>0</v>
      </c>
      <c r="P69" s="1">
        <f t="shared" si="52"/>
        <v>0</v>
      </c>
      <c r="Q69" s="1">
        <f t="shared" si="52"/>
        <v>0</v>
      </c>
      <c r="R69" s="1">
        <f>IF($B$2="MNK",FLOOR($I$52/VLOOKUP($B$4,JA!$B$30:$C$32,2),1),IF($B$3="MNK",FLOOR(Setup1!$I$52/VLOOKUP($B$5,JA!$B$30:$C$32,2),1),0))</f>
        <v>0</v>
      </c>
      <c r="S69" s="1">
        <f>J69*R69</f>
        <v>0</v>
      </c>
      <c r="T69" s="22"/>
      <c r="U69" s="1"/>
      <c r="V69" s="1"/>
      <c r="W69" s="1"/>
    </row>
    <row r="70" spans="1:2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 t="s">
        <v>339</v>
      </c>
      <c r="S70" s="1">
        <f>SUM(S50:S69)</f>
        <v>8683</v>
      </c>
      <c r="T70" s="22">
        <f>SUM(T64:T69)</f>
        <v>7.41</v>
      </c>
      <c r="U70" s="1"/>
      <c r="V70" s="1"/>
      <c r="W70" s="1"/>
    </row>
    <row r="71" spans="1:2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44" t="s">
        <v>427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 t="s">
        <v>406</v>
      </c>
      <c r="L72" s="1">
        <f>FLOOR((($G$16*(1+$B$42))/$F$18),0.01)</f>
        <v>1.17</v>
      </c>
      <c r="M72" s="1">
        <f>FLOOR((($G$26*(1+$B$42))/$F$18),0.01)</f>
        <v>1.46</v>
      </c>
      <c r="N72" s="1">
        <f>FLOOR((($G$40*(1+$B$42))/$F$18),0.01)</f>
        <v>1.23</v>
      </c>
      <c r="O72" s="1">
        <f>FLOOR((($G$41*(1+$B$42))/$F$18),0.01)</f>
        <v>1.17</v>
      </c>
      <c r="P72" s="1">
        <f>FLOOR((($G$42*(1+$B$42))/$F$18),0.01)</f>
        <v>1.17</v>
      </c>
      <c r="Q72" s="1">
        <f>FLOOR((($G$43*(1+$B$42))/$F$18),0.01)</f>
        <v>1.17</v>
      </c>
      <c r="R72" s="1"/>
      <c r="S72" s="1"/>
      <c r="T72" s="1"/>
      <c r="U72" s="1"/>
      <c r="V72" s="1"/>
      <c r="W72" s="1"/>
    </row>
    <row r="73" spans="1:2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 t="s">
        <v>405</v>
      </c>
      <c r="L73" s="1">
        <f aca="true" t="shared" si="53" ref="L73:Q73">IF(((L72-(0.05*($F$4-$B$4)))*$I$20&gt;2),2,IF(((L72-(0.05*($F$4-$B$4)))*$I$20&lt;0),0,(L72-(0.05*($F$4-$B$4)))*$I$20))</f>
        <v>0.8199999999999998</v>
      </c>
      <c r="M73" s="1">
        <f t="shared" si="53"/>
        <v>1.1099999999999999</v>
      </c>
      <c r="N73" s="1">
        <f t="shared" si="53"/>
        <v>0.8799999999999999</v>
      </c>
      <c r="O73" s="1">
        <f t="shared" si="53"/>
        <v>0.8199999999999998</v>
      </c>
      <c r="P73" s="1">
        <f t="shared" si="53"/>
        <v>0.8199999999999998</v>
      </c>
      <c r="Q73" s="1">
        <f t="shared" si="53"/>
        <v>0.8199999999999998</v>
      </c>
      <c r="R73" s="1"/>
      <c r="S73" s="1"/>
      <c r="T73" s="1"/>
      <c r="U73" s="1"/>
      <c r="V73" s="1"/>
      <c r="W73" s="1"/>
    </row>
    <row r="74" spans="1:2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 t="s">
        <v>423</v>
      </c>
      <c r="L74" s="1">
        <f>IF((VLOOKUP(L$73,'Reference Tables'!$A$23:$M$25,8,TRUE)&lt;0),0,VLOOKUP(L$73,'Reference Tables'!$A$23:$M$25,8,TRUE))</f>
        <v>0.48399999999999976</v>
      </c>
      <c r="M74" s="1">
        <f>IF((VLOOKUP(M$73,'Reference Tables'!$A$23:$M$25,9,TRUE)&lt;0),0,VLOOKUP(M$73,'Reference Tables'!$A$23:$M$25,9,TRUE))</f>
        <v>0.8319999999999999</v>
      </c>
      <c r="N74" s="1">
        <f>IF((VLOOKUP(N$73,'Reference Tables'!$A$23:$M$25,10,TRUE)&lt;0),0,VLOOKUP(N$73,'Reference Tables'!$A$23:$M$25,10,TRUE))</f>
        <v>0.5559999999999998</v>
      </c>
      <c r="O74" s="1">
        <f>IF((VLOOKUP(O$73,'Reference Tables'!$A$23:$M$25,11,TRUE)&lt;0),0,VLOOKUP(O$73,'Reference Tables'!$A$23:$M$25,11,TRUE))</f>
        <v>0.48399999999999976</v>
      </c>
      <c r="P74" s="1">
        <f>IF((VLOOKUP(P$73,'Reference Tables'!$A$23:$M$25,12,TRUE)&lt;0),0,VLOOKUP(P$73,'Reference Tables'!$A$23:$M$25,12,TRUE))</f>
        <v>0.48399999999999976</v>
      </c>
      <c r="Q74" s="1">
        <f>IF((VLOOKUP(Q$73,'Reference Tables'!$A$23:$M$25,13,TRUE)&lt;0),0,VLOOKUP(Q$73,'Reference Tables'!$A$23:$M$25,13,TRUE))</f>
        <v>0.48399999999999976</v>
      </c>
      <c r="R74" s="1"/>
      <c r="S74" s="1"/>
      <c r="T74" s="1"/>
      <c r="U74" s="1"/>
      <c r="V74" s="1"/>
      <c r="W74" s="1"/>
    </row>
    <row r="75" spans="1:2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 t="s">
        <v>424</v>
      </c>
      <c r="L75" s="1">
        <f>VLOOKUP(L$73,'Reference Tables'!$A$27:$M$29,8,TRUE)</f>
        <v>1</v>
      </c>
      <c r="M75" s="1">
        <f>VLOOKUP(M$73,'Reference Tables'!$A$27:$M$29,9,TRUE)</f>
        <v>1.3319999999999999</v>
      </c>
      <c r="N75" s="1">
        <f>VLOOKUP(N$73,'Reference Tables'!$A$27:$M$29,10,TRUE)</f>
        <v>1.0559999999999998</v>
      </c>
      <c r="O75" s="1">
        <f>VLOOKUP(O$73,'Reference Tables'!$A$27:$M$29,11,TRUE)</f>
        <v>1</v>
      </c>
      <c r="P75" s="1">
        <f>VLOOKUP(P$73,'Reference Tables'!$A$27:$M$29,12,TRUE)</f>
        <v>1</v>
      </c>
      <c r="Q75" s="1">
        <f>VLOOKUP(Q$73,'Reference Tables'!$A$27:$M$29,13,TRUE)</f>
        <v>1</v>
      </c>
      <c r="R75" s="1"/>
      <c r="S75" s="1"/>
      <c r="T75" s="1"/>
      <c r="U75" s="1"/>
      <c r="V75" s="1"/>
      <c r="W75" s="1"/>
    </row>
    <row r="76" spans="1:2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 t="s">
        <v>425</v>
      </c>
      <c r="L76" s="1">
        <f>IF(((VLOOKUP(L$73,'Reference Tables'!$A$23:$M$25,8,TRUE)+$C$31)&lt;0),0,(VLOOKUP(L$73,'Reference Tables'!$A$23:$M$25,8,TRUE)+$C$31))</f>
        <v>1.4839999999999998</v>
      </c>
      <c r="M76" s="1">
        <f>IF(((VLOOKUP(M$73,'Reference Tables'!$A$23:$M$25,9,TRUE)+$C$31)&lt;0),0,(VLOOKUP(M$73,'Reference Tables'!$A$23:$M$25,9,TRUE)+$C$31))</f>
        <v>1.8319999999999999</v>
      </c>
      <c r="N76" s="1">
        <f>IF(((VLOOKUP(N$73,'Reference Tables'!$A$23:$M$25,10,TRUE)+$C$31)&lt;0),0,(VLOOKUP(N$73,'Reference Tables'!$A$23:$M$25,10,TRUE)+$C$31))</f>
        <v>1.5559999999999998</v>
      </c>
      <c r="O76" s="1">
        <f>IF(((VLOOKUP(O$73,'Reference Tables'!$A$23:$M$25,11,TRUE)+$C$31)&lt;0),0,(VLOOKUP(O$73,'Reference Tables'!$A$23:$M$25,11,TRUE)+$C$31))</f>
        <v>1.4839999999999998</v>
      </c>
      <c r="P76" s="1">
        <f>IF(((VLOOKUP(P$73,'Reference Tables'!$A$23:$M$25,12,TRUE)+$C$31)&lt;0),0,(VLOOKUP(P$73,'Reference Tables'!$A$23:$M$25,12,TRUE)+$C$31))</f>
        <v>1.4839999999999998</v>
      </c>
      <c r="Q76" s="1">
        <f>IF(((VLOOKUP(Q$73,'Reference Tables'!$A$23:$M$25,13,TRUE)+$C$31)&lt;0),0,(VLOOKUP(Q$73,'Reference Tables'!$A$23:$M$25,13,TRUE)+$C$31))</f>
        <v>1.4839999999999998</v>
      </c>
      <c r="R76" s="1"/>
      <c r="S76" s="1"/>
      <c r="T76" s="1"/>
      <c r="U76" s="1"/>
      <c r="V76" s="1"/>
      <c r="W76" s="1"/>
    </row>
    <row r="77" spans="1:2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 t="s">
        <v>426</v>
      </c>
      <c r="L77" s="1">
        <f aca="true" t="shared" si="54" ref="L77:Q77">IF(((L$75+$C$31)&gt;3),3,(L$75+$C$31))</f>
        <v>2</v>
      </c>
      <c r="M77" s="1">
        <f t="shared" si="54"/>
        <v>2.332</v>
      </c>
      <c r="N77" s="1">
        <f t="shared" si="54"/>
        <v>2.056</v>
      </c>
      <c r="O77" s="1">
        <f t="shared" si="54"/>
        <v>2</v>
      </c>
      <c r="P77" s="1">
        <f t="shared" si="54"/>
        <v>2</v>
      </c>
      <c r="Q77" s="1">
        <f t="shared" si="54"/>
        <v>2</v>
      </c>
      <c r="R77" s="1"/>
      <c r="S77" s="1"/>
      <c r="T77" s="1"/>
      <c r="U77" s="1"/>
      <c r="V77" s="1"/>
      <c r="W77" s="1"/>
    </row>
    <row r="78" spans="1:2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</sheetData>
  <conditionalFormatting sqref="M1:N61 M64:N65536 M62:M63">
    <cfRule type="expression" priority="1" dxfId="0" stopIfTrue="1">
      <formula>$B$26=0</formula>
    </cfRule>
  </conditionalFormatting>
  <conditionalFormatting sqref="O1:O65536">
    <cfRule type="expression" priority="2" dxfId="0" stopIfTrue="1">
      <formula>$B$41=0</formula>
    </cfRule>
  </conditionalFormatting>
  <conditionalFormatting sqref="P1:P65536">
    <cfRule type="expression" priority="3" dxfId="0" stopIfTrue="1">
      <formula>$B$42=0</formula>
    </cfRule>
  </conditionalFormatting>
  <conditionalFormatting sqref="Q1:Q65536">
    <cfRule type="expression" priority="4" dxfId="0" stopIfTrue="1">
      <formula>$B$43="NO"</formula>
    </cfRule>
  </conditionalFormatting>
  <conditionalFormatting sqref="N62">
    <cfRule type="expression" priority="5" dxfId="0" stopIfTrue="1">
      <formula>$B$40=0</formula>
    </cfRule>
  </conditionalFormatting>
  <dataValidations count="8">
    <dataValidation type="list" allowBlank="1" showInputMessage="1" showErrorMessage="1" sqref="B2:B3">
      <formula1>Jobs</formula1>
    </dataValidation>
    <dataValidation type="list" allowBlank="1" showInputMessage="1" showErrorMessage="1" sqref="D51">
      <formula1>JAWS</formula1>
    </dataValidation>
    <dataValidation type="list" allowBlank="1" showInputMessage="1" showErrorMessage="1" sqref="B34 B43">
      <formula1>YN</formula1>
    </dataValidation>
    <dataValidation type="list" allowBlank="1" showInputMessage="1" showErrorMessage="1" sqref="H2">
      <formula1>WS</formula1>
    </dataValidation>
    <dataValidation type="list" allowBlank="1" showInputMessage="1" showErrorMessage="1" sqref="E2:E7">
      <formula1>Buffs</formula1>
    </dataValidation>
    <dataValidation type="list" allowBlank="1" showInputMessage="1" showErrorMessage="1" sqref="D2">
      <formula1>Food</formula1>
    </dataValidation>
    <dataValidation type="list" allowBlank="1" showInputMessage="1" showErrorMessage="1" sqref="B30">
      <formula1>wtype</formula1>
    </dataValidation>
    <dataValidation type="list" allowBlank="1" showInputMessage="1" showErrorMessage="1" sqref="F2">
      <formula1>Mobs</formula1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43">
      <selection activeCell="A79" sqref="A79"/>
    </sheetView>
  </sheetViews>
  <sheetFormatPr defaultColWidth="9.140625" defaultRowHeight="12.75"/>
  <cols>
    <col min="1" max="1" width="24.8515625" style="0" bestFit="1" customWidth="1"/>
    <col min="2" max="2" width="9.00390625" style="0" bestFit="1" customWidth="1"/>
    <col min="3" max="3" width="7.421875" style="0" customWidth="1"/>
    <col min="4" max="4" width="7.00390625" style="0" bestFit="1" customWidth="1"/>
    <col min="5" max="5" width="10.57421875" style="0" bestFit="1" customWidth="1"/>
    <col min="6" max="6" width="5.8515625" style="0" bestFit="1" customWidth="1"/>
    <col min="7" max="7" width="7.8515625" style="0" bestFit="1" customWidth="1"/>
    <col min="8" max="9" width="7.7109375" style="0" bestFit="1" customWidth="1"/>
    <col min="10" max="10" width="7.57421875" style="0" bestFit="1" customWidth="1"/>
    <col min="11" max="11" width="6.421875" style="0" bestFit="1" customWidth="1"/>
    <col min="12" max="12" width="12.7109375" style="0" bestFit="1" customWidth="1"/>
    <col min="13" max="13" width="10.7109375" style="0" bestFit="1" customWidth="1"/>
    <col min="14" max="17" width="15.00390625" style="0" bestFit="1" customWidth="1"/>
  </cols>
  <sheetData>
    <row r="1" spans="1:17" ht="12.75" customHeight="1">
      <c r="A1" s="1" t="s">
        <v>35</v>
      </c>
      <c r="B1" s="1" t="s">
        <v>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>
        <v>-100</v>
      </c>
      <c r="B3" s="1">
        <f>((Setup1!$L$10+13)/2)</f>
        <v>22.5</v>
      </c>
      <c r="C3" s="1">
        <f>((Setup2!$L$10+13)/2)</f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>
        <v>-21</v>
      </c>
      <c r="B4" s="1">
        <f>((Setup1!$L$10+12)/2)</f>
        <v>22</v>
      </c>
      <c r="C4" s="1">
        <f>((Setup2!$L$10+12)/2)</f>
        <v>19.5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 customHeight="1">
      <c r="A5" s="1">
        <v>-15</v>
      </c>
      <c r="B5" s="1">
        <f>((Setup1!$L$10+10)/2)</f>
        <v>21</v>
      </c>
      <c r="C5" s="1">
        <f>((Setup2!$L$10+10)/2)</f>
        <v>18.5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 customHeight="1">
      <c r="A6" s="1">
        <v>-7</v>
      </c>
      <c r="B6" s="1">
        <f>((Setup1!$L$10+9)/2)</f>
        <v>20.5</v>
      </c>
      <c r="C6" s="1">
        <f>((Setup2!$L$10+9)/2)</f>
        <v>18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 customHeight="1">
      <c r="A7" s="1">
        <v>-2</v>
      </c>
      <c r="B7" s="1">
        <f>((Setup1!$L$10+8)/2)</f>
        <v>20</v>
      </c>
      <c r="C7" s="1">
        <f>((Setup2!$L$10+8)/2)</f>
        <v>17.5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 customHeight="1">
      <c r="A8" s="1">
        <v>1</v>
      </c>
      <c r="B8" s="1">
        <f>((Setup1!$L$10+7)/2)</f>
        <v>19.5</v>
      </c>
      <c r="C8" s="1">
        <f>((Setup2!$L$10+7)/2)</f>
        <v>17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1">
        <v>6</v>
      </c>
      <c r="B9" s="1">
        <f>((Setup1!$L$10+6)/2)</f>
        <v>19</v>
      </c>
      <c r="C9" s="1">
        <f>((Setup2!$L$10+6)/2)</f>
        <v>16.5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 customHeight="1">
      <c r="A10" s="1">
        <v>12</v>
      </c>
      <c r="B10" s="1">
        <f>((Setup1!$L$10+4)/2)</f>
        <v>18</v>
      </c>
      <c r="C10" s="1">
        <f>((Setup2!$L$10+4)/2)</f>
        <v>15.5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 customHeight="1">
      <c r="A11" s="1" t="s">
        <v>17</v>
      </c>
      <c r="B11" s="1"/>
      <c r="C11" s="1" t="s">
        <v>323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>
      <c r="A12" s="1" t="s">
        <v>94</v>
      </c>
      <c r="B12" s="1" t="s">
        <v>95</v>
      </c>
      <c r="C12" s="1" t="s">
        <v>94</v>
      </c>
      <c r="D12" s="1" t="s">
        <v>95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1">
        <f>-(7+(Setup1!$C$30*2))*2</f>
        <v>-54</v>
      </c>
      <c r="B13" s="1">
        <f>(14+(Setup1!$C$30*2))*2</f>
        <v>68</v>
      </c>
      <c r="C13" s="1">
        <f>-(7+(Setup2!$C$30*2))*2</f>
        <v>-54</v>
      </c>
      <c r="D13" s="1">
        <f>(14+(Setup2!$C$30*2))*2</f>
        <v>68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 t="s">
        <v>413</v>
      </c>
      <c r="B14" s="1" t="s">
        <v>314</v>
      </c>
      <c r="C14" s="1" t="s">
        <v>4</v>
      </c>
      <c r="D14" s="1" t="s">
        <v>99</v>
      </c>
      <c r="E14" s="1" t="s">
        <v>98</v>
      </c>
      <c r="F14" s="1" t="s">
        <v>195</v>
      </c>
      <c r="G14" s="1" t="s">
        <v>100</v>
      </c>
      <c r="H14" s="1" t="s">
        <v>417</v>
      </c>
      <c r="I14" s="1" t="s">
        <v>418</v>
      </c>
      <c r="J14" s="1" t="s">
        <v>419</v>
      </c>
      <c r="K14" s="1" t="s">
        <v>420</v>
      </c>
      <c r="L14" s="1" t="s">
        <v>421</v>
      </c>
      <c r="M14" s="1" t="s">
        <v>422</v>
      </c>
      <c r="N14" s="1"/>
      <c r="O14" s="1"/>
      <c r="P14" s="1"/>
      <c r="Q14" s="1"/>
    </row>
    <row r="15" spans="1:17" ht="12.75" customHeight="1">
      <c r="A15" s="1">
        <v>0</v>
      </c>
      <c r="B15" s="1">
        <f>-0.5+(1.2*(Setup1!$L$14))</f>
        <v>0.4959999999999998</v>
      </c>
      <c r="C15" s="1">
        <f>-0.5+(1.2*(Setup1!$M$14))</f>
        <v>0.4959999999999998</v>
      </c>
      <c r="D15" s="1">
        <f>-0.5+(1.2*(Setup1!$N$14))</f>
        <v>0.4959999999999998</v>
      </c>
      <c r="E15" s="1">
        <f>-0.5+(1.2*(Setup1!$O$14))</f>
        <v>0.4959999999999998</v>
      </c>
      <c r="F15" s="1">
        <f>-0.5+(1.2*(Setup1!$P$14))</f>
        <v>0.4959999999999998</v>
      </c>
      <c r="G15" s="1">
        <f>-0.5+(1.2*(Setup1!$Q$14))</f>
        <v>0.4959999999999998</v>
      </c>
      <c r="H15" s="1">
        <f>-0.5+(1.2*(Setup1!L$73))</f>
        <v>0.4959999999999998</v>
      </c>
      <c r="I15" s="1">
        <f>-0.5+(1.2*(Setup1!M$73))</f>
        <v>0.4959999999999998</v>
      </c>
      <c r="J15" s="1">
        <f>-0.5+(1.2*(Setup1!N$73))</f>
        <v>0.4959999999999998</v>
      </c>
      <c r="K15" s="1">
        <f>-0.5+(1.2*(Setup1!O$73))</f>
        <v>0.4959999999999998</v>
      </c>
      <c r="L15" s="1">
        <f>-0.5+(1.2*(Setup1!P$73))</f>
        <v>0.4959999999999998</v>
      </c>
      <c r="M15" s="1">
        <f>-0.5+(1.2*(Setup1!Q$73))</f>
        <v>0.4959999999999998</v>
      </c>
      <c r="N15" s="1"/>
      <c r="O15" s="1"/>
      <c r="P15" s="1"/>
      <c r="Q15" s="1"/>
    </row>
    <row r="16" spans="1:17" ht="12.75" customHeight="1">
      <c r="A16" s="1">
        <v>1.25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/>
      <c r="O16" s="1"/>
      <c r="P16" s="1"/>
      <c r="Q16" s="1"/>
    </row>
    <row r="17" spans="1:17" ht="12.75" customHeight="1">
      <c r="A17" s="1">
        <v>1.5</v>
      </c>
      <c r="B17" s="1">
        <f>-0.8+(1.2*(Setup1!$L$14))</f>
        <v>0.19599999999999973</v>
      </c>
      <c r="C17" s="1">
        <f>-0.8+(1.2*(Setup1!$M$14))</f>
        <v>0.19599999999999973</v>
      </c>
      <c r="D17" s="1">
        <f>-0.8+(1.2*(Setup1!$N$14))</f>
        <v>0.19599999999999973</v>
      </c>
      <c r="E17" s="1">
        <f>-0.8+(1.2*(Setup1!$O$14))</f>
        <v>0.19599999999999973</v>
      </c>
      <c r="F17" s="1">
        <f>-0.8+(1.2*(Setup1!$P$14))</f>
        <v>0.19599999999999973</v>
      </c>
      <c r="G17" s="1">
        <f>-0.8+(1.2*(Setup1!$Q$14))</f>
        <v>0.19599999999999973</v>
      </c>
      <c r="H17" s="1">
        <f>-0.8+(1.2*(Setup1!L$73))</f>
        <v>0.19599999999999973</v>
      </c>
      <c r="I17" s="1">
        <f>-0.8+(1.2*(Setup1!M$73))</f>
        <v>0.19599999999999973</v>
      </c>
      <c r="J17" s="1">
        <f>-0.8+(1.2*(Setup1!N$73))</f>
        <v>0.19599999999999973</v>
      </c>
      <c r="K17" s="1">
        <f>-0.8+(1.2*(Setup1!O$73))</f>
        <v>0.19599999999999973</v>
      </c>
      <c r="L17" s="1">
        <f>-0.8+(1.2*(Setup1!P$73))</f>
        <v>0.19599999999999973</v>
      </c>
      <c r="M17" s="1">
        <f>-0.8+(1.2*(Setup1!Q$73))</f>
        <v>0.19599999999999973</v>
      </c>
      <c r="N17" s="1"/>
      <c r="O17" s="1"/>
      <c r="P17" s="1"/>
      <c r="Q17" s="1"/>
    </row>
    <row r="18" spans="1:17" ht="12.75" customHeight="1">
      <c r="A18" s="1" t="s">
        <v>414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1">
        <v>0</v>
      </c>
      <c r="B19" s="1">
        <f>0.4+(1.2*(Setup1!$L$14))</f>
        <v>1.396</v>
      </c>
      <c r="C19" s="1">
        <f>0.4+(1.2*(Setup1!$M$14))</f>
        <v>1.396</v>
      </c>
      <c r="D19" s="1">
        <f>0.4+(1.2*(Setup1!$N$14))</f>
        <v>1.396</v>
      </c>
      <c r="E19" s="1">
        <f>0.4+(1.2*(Setup1!$O$14))</f>
        <v>1.396</v>
      </c>
      <c r="F19" s="1">
        <f>0.4+(1.2*(Setup1!$P$14))</f>
        <v>1.396</v>
      </c>
      <c r="G19" s="1">
        <f>0.4+(1.2*(Setup1!$Q$14))</f>
        <v>1.396</v>
      </c>
      <c r="H19" s="1">
        <f>0.4+(1.2*(Setup1!L$73))</f>
        <v>1.396</v>
      </c>
      <c r="I19" s="1">
        <f>0.4+(1.2*(Setup1!M$73))</f>
        <v>1.396</v>
      </c>
      <c r="J19" s="1">
        <f>0.4+(1.2*(Setup1!N$73))</f>
        <v>1.396</v>
      </c>
      <c r="K19" s="1">
        <f>0.4+(1.2*(Setup1!O$73))</f>
        <v>1.396</v>
      </c>
      <c r="L19" s="1">
        <f>0.4+(1.2*(Setup1!P$73))</f>
        <v>1.396</v>
      </c>
      <c r="M19" s="1">
        <f>0.4+(1.2*(Setup1!Q$73))</f>
        <v>1.396</v>
      </c>
      <c r="N19" s="1"/>
      <c r="O19" s="1"/>
      <c r="P19" s="1"/>
      <c r="Q19" s="1"/>
    </row>
    <row r="20" spans="1:17" ht="12.75" customHeight="1">
      <c r="A20" s="1">
        <v>0.5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/>
      <c r="O20" s="1"/>
      <c r="P20" s="1"/>
      <c r="Q20" s="1"/>
    </row>
    <row r="21" spans="1:17" ht="12.75" customHeight="1">
      <c r="A21" s="1">
        <f>5/6</f>
        <v>0.8333333333333334</v>
      </c>
      <c r="B21" s="1">
        <f>1.2*(Setup1!$L$14)</f>
        <v>0.9959999999999998</v>
      </c>
      <c r="C21" s="1">
        <f>1.2*(Setup1!$M$14)</f>
        <v>0.9959999999999998</v>
      </c>
      <c r="D21" s="1">
        <f>1.2*(Setup1!$N$14)</f>
        <v>0.9959999999999998</v>
      </c>
      <c r="E21" s="1">
        <f>1.2*(Setup1!$O$14)</f>
        <v>0.9959999999999998</v>
      </c>
      <c r="F21" s="1">
        <f>1.2*(Setup1!$P$14)</f>
        <v>0.9959999999999998</v>
      </c>
      <c r="G21" s="1">
        <f>1.2*(Setup1!$Q$14)</f>
        <v>0.9959999999999998</v>
      </c>
      <c r="H21" s="1">
        <f>1.2*(Setup1!L$73)</f>
        <v>0.9959999999999998</v>
      </c>
      <c r="I21" s="1">
        <f>1.2*(Setup1!M$73)</f>
        <v>0.9959999999999998</v>
      </c>
      <c r="J21" s="1">
        <f>1.2*(Setup1!N$73)</f>
        <v>0.9959999999999998</v>
      </c>
      <c r="K21" s="1">
        <f>1.2*(Setup1!O$73)</f>
        <v>0.9959999999999998</v>
      </c>
      <c r="L21" s="1">
        <f>1.2*(Setup1!P$73)</f>
        <v>0.9959999999999998</v>
      </c>
      <c r="M21" s="1">
        <f>1.2*(Setup1!Q$73)</f>
        <v>0.9959999999999998</v>
      </c>
      <c r="N21" s="1"/>
      <c r="O21" s="1"/>
      <c r="P21" s="1"/>
      <c r="Q21" s="1"/>
    </row>
    <row r="22" spans="1:17" ht="12.75" customHeight="1">
      <c r="A22" s="1" t="s">
        <v>415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1">
        <v>0</v>
      </c>
      <c r="B23" s="1">
        <f>-0.5+(1.2*(Setup2!L$14))</f>
        <v>0.48399999999999976</v>
      </c>
      <c r="C23" s="1">
        <f>-0.5+(1.2*(Setup2!M$14))</f>
        <v>0.8319999999999999</v>
      </c>
      <c r="D23" s="1">
        <f>-0.5+(1.2*(Setup2!N$14))</f>
        <v>0.5559999999999998</v>
      </c>
      <c r="E23" s="1">
        <f>-0.5+(1.2*(Setup2!O$14))</f>
        <v>0.48399999999999976</v>
      </c>
      <c r="F23" s="1">
        <f>-0.5+(1.2*(Setup2!P$14))</f>
        <v>0.48399999999999976</v>
      </c>
      <c r="G23" s="1">
        <f>-0.5+(1.2*(Setup2!Q$14))</f>
        <v>0.48399999999999976</v>
      </c>
      <c r="H23" s="1">
        <f>-0.5+(1.2*(Setup2!L$73))</f>
        <v>0.48399999999999976</v>
      </c>
      <c r="I23" s="1">
        <f>-0.5+(1.2*(Setup2!M$73))</f>
        <v>0.8319999999999999</v>
      </c>
      <c r="J23" s="1">
        <f>-0.5+(1.2*(Setup2!N$73))</f>
        <v>0.5559999999999998</v>
      </c>
      <c r="K23" s="1">
        <f>-0.5+(1.2*(Setup2!O$73))</f>
        <v>0.48399999999999976</v>
      </c>
      <c r="L23" s="1">
        <f>-0.5+(1.2*(Setup2!P$73))</f>
        <v>0.48399999999999976</v>
      </c>
      <c r="M23" s="1">
        <f>-0.5+(1.2*(Setup2!Q$73))</f>
        <v>0.48399999999999976</v>
      </c>
      <c r="N23" s="1"/>
      <c r="O23" s="1"/>
      <c r="P23" s="1"/>
      <c r="Q23" s="1"/>
    </row>
    <row r="24" spans="1:17" ht="12.75" customHeight="1">
      <c r="A24" s="1">
        <v>1.25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/>
      <c r="O24" s="1"/>
      <c r="P24" s="1"/>
      <c r="Q24" s="1"/>
    </row>
    <row r="25" spans="1:17" ht="12.75" customHeight="1">
      <c r="A25" s="1">
        <v>1.5</v>
      </c>
      <c r="B25" s="1">
        <f>-0.8+(1.2*(Setup2!L$14))</f>
        <v>0.18399999999999972</v>
      </c>
      <c r="C25" s="1">
        <f>-0.8+(1.2*(Setup2!M$14))</f>
        <v>0.5319999999999998</v>
      </c>
      <c r="D25" s="1">
        <f>-0.8+(1.2*(Setup2!N$14))</f>
        <v>0.2559999999999998</v>
      </c>
      <c r="E25" s="1">
        <f>-0.8+(1.2*(Setup2!O$14))</f>
        <v>0.18399999999999972</v>
      </c>
      <c r="F25" s="1">
        <f>-0.8+(1.2*(Setup2!P$14))</f>
        <v>0.18399999999999972</v>
      </c>
      <c r="G25" s="1">
        <f>-0.8+(1.2*(Setup2!Q$14))</f>
        <v>0.18399999999999972</v>
      </c>
      <c r="H25" s="1">
        <f>-0.8+(1.2*(Setup2!L$73))</f>
        <v>0.18399999999999972</v>
      </c>
      <c r="I25" s="1">
        <f>-0.8+(1.2*(Setup2!M$73))</f>
        <v>0.5319999999999998</v>
      </c>
      <c r="J25" s="1">
        <f>-0.8+(1.2*(Setup2!N$73))</f>
        <v>0.2559999999999998</v>
      </c>
      <c r="K25" s="1">
        <f>-0.8+(1.2*(Setup2!O$73))</f>
        <v>0.18399999999999972</v>
      </c>
      <c r="L25" s="1">
        <f>-0.8+(1.2*(Setup2!P$73))</f>
        <v>0.18399999999999972</v>
      </c>
      <c r="M25" s="1">
        <f>-0.8+(1.2*(Setup2!Q$73))</f>
        <v>0.18399999999999972</v>
      </c>
      <c r="N25" s="1"/>
      <c r="O25" s="1"/>
      <c r="P25" s="1"/>
      <c r="Q25" s="1"/>
    </row>
    <row r="26" spans="1:17" ht="12.75" customHeight="1">
      <c r="A26" s="1" t="s">
        <v>416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1">
        <v>0</v>
      </c>
      <c r="B27" s="1">
        <f>0.4+(1.2*(Setup2!L$14))</f>
        <v>1.384</v>
      </c>
      <c r="C27" s="1">
        <f>0.4+(1.2*(Setup2!M$14))</f>
        <v>1.7319999999999998</v>
      </c>
      <c r="D27" s="1">
        <f>0.4+(1.2*(Setup2!N$14))</f>
        <v>1.456</v>
      </c>
      <c r="E27" s="1">
        <f>0.4+(1.2*(Setup2!O$14))</f>
        <v>1.384</v>
      </c>
      <c r="F27" s="1">
        <f>0.4+(1.2*(Setup2!P$14))</f>
        <v>1.384</v>
      </c>
      <c r="G27" s="1">
        <f>0.4+(1.2*(Setup2!Q$14))</f>
        <v>1.384</v>
      </c>
      <c r="H27" s="1">
        <f>0.4+(1.2*(Setup2!L$73))</f>
        <v>1.384</v>
      </c>
      <c r="I27" s="1">
        <f>0.4+(1.2*(Setup2!M$73))</f>
        <v>1.7319999999999998</v>
      </c>
      <c r="J27" s="1">
        <f>0.4+(1.2*(Setup2!N$73))</f>
        <v>1.456</v>
      </c>
      <c r="K27" s="1">
        <f>0.4+(1.2*(Setup2!O$73))</f>
        <v>1.384</v>
      </c>
      <c r="L27" s="1">
        <f>0.4+(1.2*(Setup2!P$73))</f>
        <v>1.384</v>
      </c>
      <c r="M27" s="1">
        <f>0.4+(1.2*(Setup2!Q$73))</f>
        <v>1.384</v>
      </c>
      <c r="N27" s="1"/>
      <c r="O27" s="1"/>
      <c r="P27" s="1"/>
      <c r="Q27" s="1"/>
    </row>
    <row r="28" spans="1:17" ht="12.75" customHeight="1">
      <c r="A28" s="1">
        <v>0.5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/>
      <c r="O28" s="1"/>
      <c r="P28" s="1"/>
      <c r="Q28" s="1"/>
    </row>
    <row r="29" spans="1:17" ht="12.75" customHeight="1">
      <c r="A29" s="1">
        <f>5/6</f>
        <v>0.8333333333333334</v>
      </c>
      <c r="B29" s="1">
        <f>1.2*(Setup2!L$14)</f>
        <v>0.9839999999999998</v>
      </c>
      <c r="C29" s="1">
        <f>1.2*(Setup2!M$14)</f>
        <v>1.3319999999999999</v>
      </c>
      <c r="D29" s="1">
        <f>1.2*(Setup2!N$14)</f>
        <v>1.0559999999999998</v>
      </c>
      <c r="E29" s="1">
        <f>1.2*(Setup2!O$14)</f>
        <v>0.9839999999999998</v>
      </c>
      <c r="F29" s="1">
        <f>1.2*(Setup2!P$14)</f>
        <v>0.9839999999999998</v>
      </c>
      <c r="G29" s="1">
        <f>1.2*(Setup2!Q$14)</f>
        <v>0.9839999999999998</v>
      </c>
      <c r="H29" s="1">
        <f>1.2*(Setup2!L$73)</f>
        <v>0.9839999999999998</v>
      </c>
      <c r="I29" s="1">
        <f>1.2*(Setup2!M$73)</f>
        <v>1.3319999999999999</v>
      </c>
      <c r="J29" s="1">
        <f>1.2*(Setup2!N$73)</f>
        <v>1.0559999999999998</v>
      </c>
      <c r="K29" s="1">
        <f>1.2*(Setup2!O$73)</f>
        <v>0.9839999999999998</v>
      </c>
      <c r="L29" s="1">
        <f>1.2*(Setup2!P$73)</f>
        <v>0.9839999999999998</v>
      </c>
      <c r="M29" s="1">
        <f>1.2*(Setup2!Q$73)</f>
        <v>0.9839999999999998</v>
      </c>
      <c r="N29" s="1"/>
      <c r="O29" s="1"/>
      <c r="P29" s="1"/>
      <c r="Q29" s="1"/>
    </row>
    <row r="30" spans="1:17" ht="12.75" customHeight="1">
      <c r="A30" s="1" t="s">
        <v>96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1">
        <v>1</v>
      </c>
      <c r="B31" s="1">
        <v>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1">
        <v>6</v>
      </c>
      <c r="B32" s="1">
        <f aca="true" t="shared" si="0" ref="B32:B48">B31-0.01</f>
        <v>0.99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1">
        <v>12</v>
      </c>
      <c r="B33" s="1">
        <f t="shared" si="0"/>
        <v>0.98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1">
        <v>18</v>
      </c>
      <c r="B34" s="1">
        <f t="shared" si="0"/>
        <v>0.97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1">
        <v>24</v>
      </c>
      <c r="B35" s="1">
        <f t="shared" si="0"/>
        <v>0.96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1">
        <v>30</v>
      </c>
      <c r="B36" s="1">
        <f t="shared" si="0"/>
        <v>0.95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1">
        <v>36</v>
      </c>
      <c r="B37" s="1">
        <f t="shared" si="0"/>
        <v>0.94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customHeight="1">
      <c r="A38" s="1">
        <v>42</v>
      </c>
      <c r="B38" s="1">
        <f t="shared" si="0"/>
        <v>0.9299999999999999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>
      <c r="A39" s="1">
        <v>48</v>
      </c>
      <c r="B39" s="1">
        <f t="shared" si="0"/>
        <v>0.9199999999999999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1">
        <v>54</v>
      </c>
      <c r="B40" s="1">
        <f t="shared" si="0"/>
        <v>0.9099999999999999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1">
        <v>60</v>
      </c>
      <c r="B41" s="1">
        <f t="shared" si="0"/>
        <v>0.8999999999999999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1">
        <v>62</v>
      </c>
      <c r="B42" s="1">
        <f t="shared" si="0"/>
        <v>0.8899999999999999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1">
        <v>64</v>
      </c>
      <c r="B43" s="1">
        <f t="shared" si="0"/>
        <v>0.8799999999999999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 customHeight="1">
      <c r="A44" s="1">
        <v>66</v>
      </c>
      <c r="B44" s="1">
        <f t="shared" si="0"/>
        <v>0.8699999999999999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>
      <c r="A45" s="1">
        <v>68</v>
      </c>
      <c r="B45" s="1">
        <f t="shared" si="0"/>
        <v>0.8599999999999999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1">
        <v>70</v>
      </c>
      <c r="B46" s="1">
        <f t="shared" si="0"/>
        <v>0.8499999999999999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>
      <c r="A47" s="1">
        <v>72</v>
      </c>
      <c r="B47" s="1">
        <f t="shared" si="0"/>
        <v>0.8399999999999999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1">
        <v>74</v>
      </c>
      <c r="B48" s="1">
        <f t="shared" si="0"/>
        <v>0.8299999999999998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1" t="s">
        <v>78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1">
        <v>0</v>
      </c>
      <c r="B51" s="22">
        <f>FLOOR((5+(((Setup1!$G$21-180)*1.5)/180)),0.1)*0.01</f>
        <v>0.07400000000000001</v>
      </c>
      <c r="C51" s="22">
        <f>FLOOR((5+(((Setup2!$G$21-180)*1.5)/180)),0.1)*0.01</f>
        <v>0.07400000000000001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1">
        <v>180</v>
      </c>
      <c r="B52" s="22">
        <f>FLOOR((5+(((Setup1!$G$21-180)*6.5)/270)),0.1)*0.01</f>
        <v>0.11900000000000001</v>
      </c>
      <c r="C52" s="22">
        <f>FLOOR((5+(((Setup2!$G$21-180)*6.5)/270)),0.1)*0.01</f>
        <v>0.11900000000000001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1">
        <v>450</v>
      </c>
      <c r="B53" s="22">
        <f>FLOOR((11.5+(((Setup1!$G$21-450)*1.5)/30)),0.1)*0.01</f>
        <v>0.12400000000000001</v>
      </c>
      <c r="C53" s="22">
        <f>FLOOR((11.5+(((Setup2!$G$21-450)*1.5)/30)),0.1)*0.01</f>
        <v>0.12400000000000001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1">
        <v>480</v>
      </c>
      <c r="B54" s="22">
        <f>FLOOR((13+(((Setup1!$G$21-480)*1.5)/50)),0.1)*0.01</f>
        <v>0.12600000000000003</v>
      </c>
      <c r="C54" s="22">
        <f>FLOOR((13+(((Setup2!$G$21-480)*1.5)/50)),0.1)*0.01</f>
        <v>0.12600000000000003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1">
        <v>530</v>
      </c>
      <c r="B55" s="22">
        <f>FLOOR((14.5+(((Setup1!$G$21-530)*3.5)/270)),0.1)*(0.01)</f>
        <v>0.136</v>
      </c>
      <c r="C55" s="22">
        <f>FLOOR((14.5+(((Setup2!$G$21-530)*3.5)/270)),0.1)*(0.01)</f>
        <v>0.136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1" t="s">
        <v>235</v>
      </c>
      <c r="B57" s="1" t="s">
        <v>336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1" t="s">
        <v>236</v>
      </c>
      <c r="B58" s="1" t="s">
        <v>334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1" t="s">
        <v>234</v>
      </c>
      <c r="B59" s="1" t="s">
        <v>335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1" t="s">
        <v>342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>
      <c r="A62" s="1" t="s">
        <v>445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1">
        <v>-100</v>
      </c>
      <c r="B63" s="6">
        <v>0.05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1">
        <v>11</v>
      </c>
      <c r="B64" s="6">
        <f>B63+0.01</f>
        <v>0.060000000000000005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">
        <v>21</v>
      </c>
      <c r="B65" s="6">
        <f aca="true" t="shared" si="1" ref="B65:B77">B64+0.01</f>
        <v>0.07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1">
        <v>26</v>
      </c>
      <c r="B66" s="6">
        <f t="shared" si="1"/>
        <v>0.08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">
        <v>31</v>
      </c>
      <c r="B67" s="6">
        <f t="shared" si="1"/>
        <v>0.09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">
        <v>36</v>
      </c>
      <c r="B68" s="6">
        <f t="shared" si="1"/>
        <v>0.09999999999999999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">
        <v>38</v>
      </c>
      <c r="B69" s="6">
        <f t="shared" si="1"/>
        <v>0.10999999999999999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1">
        <v>40</v>
      </c>
      <c r="B70" s="6">
        <f t="shared" si="1"/>
        <v>0.11999999999999998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1">
        <v>42</v>
      </c>
      <c r="B71" s="6">
        <f t="shared" si="1"/>
        <v>0.12999999999999998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1">
        <v>44</v>
      </c>
      <c r="B72" s="6">
        <f t="shared" si="1"/>
        <v>0.13999999999999999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1">
        <v>45</v>
      </c>
      <c r="B73" s="6">
        <f t="shared" si="1"/>
        <v>0.15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1">
        <v>46</v>
      </c>
      <c r="B74" s="6">
        <f t="shared" si="1"/>
        <v>0.16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1">
        <v>47</v>
      </c>
      <c r="B75" s="6">
        <f t="shared" si="1"/>
        <v>0.17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1">
        <v>48</v>
      </c>
      <c r="B76" s="6">
        <f t="shared" si="1"/>
        <v>0.18000000000000002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1">
        <v>49</v>
      </c>
      <c r="B77" s="6">
        <f t="shared" si="1"/>
        <v>0.19000000000000003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>
      <c r="A78" s="1">
        <v>50</v>
      </c>
      <c r="B78" s="6">
        <f>B77+0.01</f>
        <v>0.20000000000000004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>
      <c r="A79" s="1"/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>
      <c r="A80" s="1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E2" sqref="E2"/>
    </sheetView>
  </sheetViews>
  <sheetFormatPr defaultColWidth="9.140625" defaultRowHeight="12.75"/>
  <cols>
    <col min="1" max="1" width="6.140625" style="0" bestFit="1" customWidth="1"/>
    <col min="2" max="2" width="5.57421875" style="0" bestFit="1" customWidth="1"/>
    <col min="3" max="3" width="11.57421875" style="0" bestFit="1" customWidth="1"/>
    <col min="4" max="4" width="10.7109375" style="0" bestFit="1" customWidth="1"/>
    <col min="5" max="5" width="9.28125" style="0" bestFit="1" customWidth="1"/>
    <col min="6" max="6" width="16.00390625" style="0" bestFit="1" customWidth="1"/>
    <col min="7" max="7" width="7.7109375" style="0" bestFit="1" customWidth="1"/>
    <col min="8" max="8" width="9.8515625" style="0" customWidth="1"/>
  </cols>
  <sheetData>
    <row r="1" spans="2:8" ht="12.75">
      <c r="B1" s="12" t="s">
        <v>224</v>
      </c>
      <c r="C1" s="12" t="s">
        <v>225</v>
      </c>
      <c r="D1" s="12" t="s">
        <v>226</v>
      </c>
      <c r="E1" s="12" t="s">
        <v>227</v>
      </c>
      <c r="F1" s="12" t="s">
        <v>228</v>
      </c>
      <c r="G1" s="12" t="s">
        <v>229</v>
      </c>
      <c r="H1" s="12" t="s">
        <v>230</v>
      </c>
    </row>
    <row r="2" spans="1:8" ht="12.75">
      <c r="A2" s="12" t="s">
        <v>109</v>
      </c>
      <c r="B2">
        <v>1</v>
      </c>
      <c r="C2">
        <f>IF(Setup1!$B$2=A2,Setup1!$B$4,IF(Setup1!$B$3=A2,Setup1!$B$5,0))</f>
        <v>0</v>
      </c>
      <c r="D2">
        <v>0</v>
      </c>
      <c r="E2">
        <v>0</v>
      </c>
      <c r="F2" s="15">
        <v>0</v>
      </c>
      <c r="G2" s="15">
        <v>0</v>
      </c>
      <c r="H2">
        <v>480</v>
      </c>
    </row>
    <row r="3" spans="1:8" ht="12.75">
      <c r="A3" s="12" t="s">
        <v>123</v>
      </c>
      <c r="B3">
        <v>2</v>
      </c>
      <c r="C3">
        <f>IF(Setup1!$B$2=A3,Setup1!$B$4,IF(Setup1!$B$3=A3,Setup1!$B$5,0))</f>
        <v>0</v>
      </c>
      <c r="D3" s="1">
        <f>IF(C3&gt;0,VLOOKUP(C3,'Job Traits'!$A$2:$C$2,3,TRUE),0)</f>
        <v>0</v>
      </c>
      <c r="E3" s="1">
        <f>IF(C3&gt;0,VLOOKUP(C3,'Job Traits'!$A$3:$C$3,3,TRUE),0)</f>
        <v>0</v>
      </c>
      <c r="F3" s="15">
        <v>0</v>
      </c>
      <c r="G3" s="6">
        <f>IF(C3&gt;0,VLOOKUP(C3,'Job Traits'!$A$4:$C$4,3,TRUE),0)</f>
        <v>0</v>
      </c>
      <c r="H3">
        <v>480</v>
      </c>
    </row>
    <row r="4" spans="1:8" ht="12.75">
      <c r="A4" s="12" t="s">
        <v>120</v>
      </c>
      <c r="B4">
        <v>3</v>
      </c>
      <c r="C4">
        <f>IF(Setup1!$B$2=A4,Setup1!$B$4,IF(Setup1!$B$3=A4,Setup1!$B$5,0))</f>
        <v>0</v>
      </c>
      <c r="D4">
        <v>0</v>
      </c>
      <c r="E4">
        <v>0</v>
      </c>
      <c r="F4" s="15">
        <v>0</v>
      </c>
      <c r="G4" s="15">
        <v>0</v>
      </c>
      <c r="H4">
        <v>480</v>
      </c>
    </row>
    <row r="5" spans="1:8" ht="12.75">
      <c r="A5" s="12" t="s">
        <v>113</v>
      </c>
      <c r="B5">
        <v>4</v>
      </c>
      <c r="C5">
        <f>IF(Setup1!$B$2=A5,Setup1!$B$4,IF(Setup1!$B$3=A5,Setup1!$B$5,0))</f>
        <v>0</v>
      </c>
      <c r="D5">
        <v>0</v>
      </c>
      <c r="E5">
        <v>0</v>
      </c>
      <c r="F5" s="15">
        <v>0</v>
      </c>
      <c r="G5" s="15">
        <v>0</v>
      </c>
      <c r="H5">
        <v>480</v>
      </c>
    </row>
    <row r="6" spans="1:8" ht="12.75">
      <c r="A6" s="12" t="s">
        <v>124</v>
      </c>
      <c r="B6">
        <v>5</v>
      </c>
      <c r="C6">
        <f>IF(Setup1!$B$2=A6,Setup1!$B$4,IF(Setup1!$B$3=A6,Setup1!$B$5,0))</f>
        <v>0</v>
      </c>
      <c r="D6">
        <v>0</v>
      </c>
      <c r="E6">
        <v>0</v>
      </c>
      <c r="F6" s="15">
        <v>0</v>
      </c>
      <c r="G6" s="15">
        <v>0</v>
      </c>
      <c r="H6">
        <v>480</v>
      </c>
    </row>
    <row r="7" spans="1:8" ht="12.75">
      <c r="A7" s="12" t="s">
        <v>121</v>
      </c>
      <c r="B7">
        <v>6</v>
      </c>
      <c r="C7">
        <f>IF(Setup1!$B$2=A7,Setup1!$B$4,IF(Setup1!$B$3=A7,Setup1!$B$5,0))</f>
        <v>0</v>
      </c>
      <c r="D7" s="1">
        <f>IF(C7&gt;0,VLOOKUP(C7,'Job Traits'!$A$5:$C$6,3,TRUE),0)</f>
        <v>0</v>
      </c>
      <c r="E7">
        <v>0</v>
      </c>
      <c r="F7" s="15">
        <v>0</v>
      </c>
      <c r="G7" s="15">
        <v>0</v>
      </c>
      <c r="H7">
        <v>480</v>
      </c>
    </row>
    <row r="8" spans="1:8" ht="12.75">
      <c r="A8" s="12" t="s">
        <v>115</v>
      </c>
      <c r="B8" s="12">
        <v>7</v>
      </c>
      <c r="C8">
        <f>IF(Setup1!$B$2=A8,Setup1!$B$4,IF(Setup1!$B$3=A8,Setup1!$B$5,0))</f>
        <v>75</v>
      </c>
      <c r="D8" s="1">
        <f>IF(C8&gt;0,VLOOKUP(C8,'Job Traits'!$A$7:$C$9,3,TRUE),0)</f>
        <v>22</v>
      </c>
      <c r="E8" s="1">
        <f>IF(C8&gt;0,VLOOKUP(C8,'Job Traits'!$A$10:$C$10,3,TRUE),0)</f>
        <v>10</v>
      </c>
      <c r="F8" s="15">
        <v>0</v>
      </c>
      <c r="G8" s="15">
        <v>0</v>
      </c>
      <c r="H8">
        <v>480</v>
      </c>
    </row>
    <row r="9" spans="1:8" ht="12.75">
      <c r="A9" s="12" t="s">
        <v>112</v>
      </c>
      <c r="B9">
        <v>8</v>
      </c>
      <c r="C9">
        <f>IF(Setup1!$B$2=A9,Setup1!$B$4,IF(Setup1!$B$3=A9,Setup1!$B$5,0))</f>
        <v>0</v>
      </c>
      <c r="D9">
        <v>0</v>
      </c>
      <c r="E9" s="1">
        <f>IF(C9&gt;0,VLOOKUP(C9,'Job Traits'!$A$11:$C$14,3,TRUE),0)</f>
        <v>0</v>
      </c>
      <c r="F9" s="15">
        <v>0</v>
      </c>
      <c r="G9" s="15">
        <v>0</v>
      </c>
      <c r="H9">
        <v>480</v>
      </c>
    </row>
    <row r="10" spans="1:8" ht="12.75">
      <c r="A10" s="12" t="s">
        <v>106</v>
      </c>
      <c r="B10">
        <v>9</v>
      </c>
      <c r="C10">
        <f>IF(Setup1!$B$2=A10,Setup1!$B$4,IF(Setup1!$B$3=A10,Setup1!$B$5,0))</f>
        <v>0</v>
      </c>
      <c r="D10">
        <v>0</v>
      </c>
      <c r="E10">
        <v>0</v>
      </c>
      <c r="F10" s="15">
        <v>0</v>
      </c>
      <c r="G10" s="15">
        <v>0</v>
      </c>
      <c r="H10" s="1">
        <f>IF(C10&gt;0,VLOOKUP(C10,'Job Traits'!$A$17:$C$22,3,TRUE),480)</f>
        <v>480</v>
      </c>
    </row>
    <row r="11" spans="1:8" ht="12.75">
      <c r="A11" s="12" t="s">
        <v>119</v>
      </c>
      <c r="B11">
        <f aca="true" t="shared" si="0" ref="B11:B21">B10+1</f>
        <v>10</v>
      </c>
      <c r="C11">
        <f>IF(Setup1!$B$2=A11,Setup1!$B$4,IF(Setup1!$B$3=A11,Setup1!$B$5,0))</f>
        <v>0</v>
      </c>
      <c r="D11">
        <v>0</v>
      </c>
      <c r="E11">
        <v>0</v>
      </c>
      <c r="F11" s="6">
        <f>IF(C11&gt;0,VLOOKUP(C11,'Job Traits'!$A$23:$C$26,3,TRUE),0)</f>
        <v>0</v>
      </c>
      <c r="G11" s="15">
        <v>0</v>
      </c>
      <c r="H11">
        <v>480</v>
      </c>
    </row>
    <row r="12" spans="1:8" ht="12.75">
      <c r="A12" s="12" t="s">
        <v>111</v>
      </c>
      <c r="B12">
        <f t="shared" si="0"/>
        <v>11</v>
      </c>
      <c r="C12">
        <f>IF(Setup1!$B$2=A12,Setup1!$B$4,IF(Setup1!$B$3=A12,Setup1!$B$5,0))</f>
        <v>0</v>
      </c>
      <c r="D12">
        <v>0</v>
      </c>
      <c r="E12">
        <v>0</v>
      </c>
      <c r="F12" s="15">
        <v>0</v>
      </c>
      <c r="G12" s="15">
        <v>0</v>
      </c>
      <c r="H12">
        <v>480</v>
      </c>
    </row>
    <row r="13" spans="1:8" ht="12.75">
      <c r="A13" s="12" t="s">
        <v>116</v>
      </c>
      <c r="B13">
        <f t="shared" si="0"/>
        <v>12</v>
      </c>
      <c r="C13">
        <f>IF(Setup1!$B$2=A13,Setup1!$B$4,IF(Setup1!$B$3=A13,Setup1!$B$5,0))</f>
        <v>0</v>
      </c>
      <c r="D13">
        <v>0</v>
      </c>
      <c r="E13">
        <v>0</v>
      </c>
      <c r="F13" s="15">
        <v>0</v>
      </c>
      <c r="G13" s="15">
        <v>0</v>
      </c>
      <c r="H13" s="1">
        <f>IF(C13&gt;0,VLOOKUP(C13,'Job Traits'!$A$27:$C$29,3,TRUE),480)</f>
        <v>480</v>
      </c>
    </row>
    <row r="14" spans="1:8" ht="12.75">
      <c r="A14" s="12" t="s">
        <v>110</v>
      </c>
      <c r="B14">
        <f t="shared" si="0"/>
        <v>13</v>
      </c>
      <c r="C14">
        <f>IF(Setup1!$B$2=A14,Setup1!$B$4,IF(Setup1!$B$3=A14,Setup1!$B$5,0))</f>
        <v>0</v>
      </c>
      <c r="D14">
        <v>0</v>
      </c>
      <c r="E14">
        <v>0</v>
      </c>
      <c r="F14" s="15">
        <v>0</v>
      </c>
      <c r="G14" s="15">
        <v>0</v>
      </c>
      <c r="H14">
        <v>480</v>
      </c>
    </row>
    <row r="15" spans="1:8" ht="12.75">
      <c r="A15" s="12" t="s">
        <v>117</v>
      </c>
      <c r="B15">
        <f t="shared" si="0"/>
        <v>14</v>
      </c>
      <c r="C15">
        <f>IF(Setup1!$B$2=A15,Setup1!$B$4,IF(Setup1!$B$3=A15,Setup1!$B$5,0))</f>
        <v>0</v>
      </c>
      <c r="D15" s="1">
        <f>IF(C15&gt;0,VLOOKUP(C15,'Job Traits'!$A$30:$C$33,3,TRUE),0)</f>
        <v>0</v>
      </c>
      <c r="E15">
        <v>0</v>
      </c>
      <c r="F15" s="15">
        <v>0</v>
      </c>
      <c r="G15" s="15">
        <v>0</v>
      </c>
      <c r="H15">
        <v>480</v>
      </c>
    </row>
    <row r="16" spans="1:8" ht="12.75">
      <c r="A16" s="12" t="s">
        <v>118</v>
      </c>
      <c r="B16">
        <f t="shared" si="0"/>
        <v>15</v>
      </c>
      <c r="C16">
        <f>IF(Setup1!$B$2=A16,Setup1!$B$4,IF(Setup1!$B$3=A16,Setup1!$B$5,0))</f>
        <v>37</v>
      </c>
      <c r="D16">
        <v>0</v>
      </c>
      <c r="E16">
        <v>0</v>
      </c>
      <c r="F16" s="15">
        <v>0</v>
      </c>
      <c r="G16" s="6">
        <f>IF(C16&gt;0,VLOOKUP(C16,'Job Traits'!$A$36:$C$39,3,TRUE),0)</f>
        <v>0.15</v>
      </c>
      <c r="H16">
        <v>480</v>
      </c>
    </row>
    <row r="17" spans="1:8" ht="12.75">
      <c r="A17" s="12" t="s">
        <v>122</v>
      </c>
      <c r="B17">
        <f t="shared" si="0"/>
        <v>16</v>
      </c>
      <c r="C17">
        <f>IF(Setup1!$B$2=A17,Setup1!$B$4,IF(Setup1!$B$3=A17,Setup1!$B$5,0))</f>
        <v>0</v>
      </c>
      <c r="D17">
        <v>0</v>
      </c>
      <c r="E17">
        <v>0</v>
      </c>
      <c r="F17" s="15">
        <v>0</v>
      </c>
      <c r="G17" s="15">
        <v>0</v>
      </c>
      <c r="H17">
        <v>480</v>
      </c>
    </row>
    <row r="18" spans="1:8" ht="12.75">
      <c r="A18" s="12" t="s">
        <v>114</v>
      </c>
      <c r="B18">
        <f t="shared" si="0"/>
        <v>17</v>
      </c>
      <c r="C18">
        <f>IF(Setup1!$B$2=A18,Setup1!$B$4,IF(Setup1!$B$3=A18,Setup1!$B$5,0))</f>
        <v>0</v>
      </c>
      <c r="D18">
        <v>0</v>
      </c>
      <c r="E18">
        <v>0</v>
      </c>
      <c r="F18" s="15">
        <v>0</v>
      </c>
      <c r="G18" s="15">
        <v>0</v>
      </c>
      <c r="H18">
        <v>480</v>
      </c>
    </row>
    <row r="19" spans="1:8" ht="12.75">
      <c r="A19" s="12" t="s">
        <v>107</v>
      </c>
      <c r="B19">
        <f t="shared" si="0"/>
        <v>18</v>
      </c>
      <c r="C19">
        <f>IF(Setup1!$B$2=A19,Setup1!$B$4,IF(Setup1!$B$3=A19,Setup1!$B$5,0))</f>
        <v>0</v>
      </c>
      <c r="D19">
        <v>0</v>
      </c>
      <c r="E19">
        <v>0</v>
      </c>
      <c r="F19" s="15">
        <v>0</v>
      </c>
      <c r="G19" s="15">
        <v>0</v>
      </c>
      <c r="H19">
        <v>480</v>
      </c>
    </row>
    <row r="20" spans="1:8" ht="12.75">
      <c r="A20" s="12" t="s">
        <v>105</v>
      </c>
      <c r="B20">
        <f t="shared" si="0"/>
        <v>19</v>
      </c>
      <c r="C20">
        <f>IF(Setup1!$B$2=A20,Setup1!$B$4,IF(Setup1!$B$3=A20,Setup1!$B$5,0))</f>
        <v>0</v>
      </c>
      <c r="D20">
        <v>0</v>
      </c>
      <c r="E20" s="1">
        <f>IF(C20&gt;0,VLOOKUP(C20,'Job Traits'!$A$43:$C$44,3,TRUE),0)</f>
        <v>0</v>
      </c>
      <c r="F20" s="15">
        <v>0</v>
      </c>
      <c r="G20" s="15">
        <v>0</v>
      </c>
      <c r="H20">
        <v>480</v>
      </c>
    </row>
    <row r="21" spans="1:8" ht="12.75">
      <c r="A21" s="12" t="s">
        <v>108</v>
      </c>
      <c r="B21">
        <f t="shared" si="0"/>
        <v>20</v>
      </c>
      <c r="C21">
        <f>IF(Setup1!$B$2=A21,Setup1!$B$4,IF(Setup1!$B$3=A21,Setup1!$B$5,0))</f>
        <v>0</v>
      </c>
      <c r="D21">
        <v>0</v>
      </c>
      <c r="E21">
        <v>0</v>
      </c>
      <c r="F21" s="15">
        <v>0</v>
      </c>
      <c r="G21" s="15">
        <v>0</v>
      </c>
      <c r="H21">
        <v>480</v>
      </c>
    </row>
    <row r="22" spans="1:8" ht="12.75">
      <c r="A22" s="12" t="s">
        <v>231</v>
      </c>
      <c r="D22">
        <f>MAX(D2:D21)</f>
        <v>22</v>
      </c>
      <c r="E22">
        <f>MAX(E2:E21)</f>
        <v>10</v>
      </c>
      <c r="F22">
        <f>MAX(F2:F21)</f>
        <v>0</v>
      </c>
      <c r="G22" s="15">
        <f>MAX(G2:G21)</f>
        <v>0.15</v>
      </c>
      <c r="H22">
        <f>MIN(H10,H13)</f>
        <v>480</v>
      </c>
    </row>
    <row r="24" spans="2:8" ht="12.75">
      <c r="B24" s="12" t="s">
        <v>224</v>
      </c>
      <c r="C24" s="12" t="s">
        <v>326</v>
      </c>
      <c r="D24" s="12" t="s">
        <v>226</v>
      </c>
      <c r="E24" s="12" t="s">
        <v>227</v>
      </c>
      <c r="F24" s="12" t="s">
        <v>228</v>
      </c>
      <c r="G24" s="12" t="s">
        <v>229</v>
      </c>
      <c r="H24" s="12" t="s">
        <v>230</v>
      </c>
    </row>
    <row r="25" spans="1:8" ht="12.75">
      <c r="A25" s="12" t="s">
        <v>109</v>
      </c>
      <c r="B25">
        <v>1</v>
      </c>
      <c r="C25">
        <f>IF(Setup2!$B$2=A25,Setup2!$B$4,IF(Setup2!$B$3=A25,Setup2!$B$5,0))</f>
        <v>0</v>
      </c>
      <c r="D25">
        <v>0</v>
      </c>
      <c r="E25">
        <v>0</v>
      </c>
      <c r="F25" s="15">
        <v>0</v>
      </c>
      <c r="G25" s="15">
        <v>0</v>
      </c>
      <c r="H25">
        <v>480</v>
      </c>
    </row>
    <row r="26" spans="1:8" ht="12.75">
      <c r="A26" s="12" t="s">
        <v>123</v>
      </c>
      <c r="B26">
        <v>2</v>
      </c>
      <c r="C26">
        <f>IF(Setup2!$B$2=A26,Setup2!$B$4,IF(Setup2!$B$3=A26,Setup2!$B$6,0))</f>
        <v>0</v>
      </c>
      <c r="D26" s="1">
        <f>IF(C26&gt;0,VLOOKUP(C26,'Job Traits'!$A$2:$C$2,3,TRUE),0)</f>
        <v>0</v>
      </c>
      <c r="E26" s="1">
        <f>IF(C26&gt;0,VLOOKUP(C26,'Job Traits'!$A$3:$C$3,3,TRUE),0)</f>
        <v>0</v>
      </c>
      <c r="F26" s="15">
        <v>0</v>
      </c>
      <c r="G26" s="6">
        <f>IF(C26&gt;63,VLOOKUP(C26,'Job Traits'!$A$4:$C$4,3,TRUE),0)</f>
        <v>0</v>
      </c>
      <c r="H26">
        <v>480</v>
      </c>
    </row>
    <row r="27" spans="1:8" ht="12.75">
      <c r="A27" s="12" t="s">
        <v>120</v>
      </c>
      <c r="B27">
        <v>3</v>
      </c>
      <c r="C27">
        <f>IF(Setup2!$B$2=A27,Setup2!$B$4,IF(Setup2!$B$3=A27,Setup2!$B$5,0))</f>
        <v>0</v>
      </c>
      <c r="D27">
        <v>0</v>
      </c>
      <c r="E27">
        <v>0</v>
      </c>
      <c r="F27" s="15">
        <v>0</v>
      </c>
      <c r="G27" s="15">
        <v>0</v>
      </c>
      <c r="H27">
        <v>480</v>
      </c>
    </row>
    <row r="28" spans="1:8" ht="12.75">
      <c r="A28" s="12" t="s">
        <v>113</v>
      </c>
      <c r="B28">
        <v>4</v>
      </c>
      <c r="C28">
        <f>IF(Setup2!$B$2=A28,Setup2!$B$4,IF(Setup2!$B$3=A28,Setup2!$B$5,0))</f>
        <v>0</v>
      </c>
      <c r="D28">
        <v>0</v>
      </c>
      <c r="E28">
        <v>0</v>
      </c>
      <c r="F28" s="15">
        <v>0</v>
      </c>
      <c r="G28" s="15">
        <v>0</v>
      </c>
      <c r="H28">
        <v>480</v>
      </c>
    </row>
    <row r="29" spans="1:8" ht="12.75">
      <c r="A29" s="12" t="s">
        <v>124</v>
      </c>
      <c r="B29">
        <v>5</v>
      </c>
      <c r="C29">
        <f>IF(Setup2!$B$2=A29,Setup2!$B$4,IF(Setup2!$B$3=A29,Setup2!$B$5,0))</f>
        <v>0</v>
      </c>
      <c r="D29">
        <v>0</v>
      </c>
      <c r="E29">
        <v>0</v>
      </c>
      <c r="F29" s="15">
        <v>0</v>
      </c>
      <c r="G29" s="15">
        <v>0</v>
      </c>
      <c r="H29">
        <v>480</v>
      </c>
    </row>
    <row r="30" spans="1:8" ht="12.75">
      <c r="A30" s="12" t="s">
        <v>121</v>
      </c>
      <c r="B30">
        <v>6</v>
      </c>
      <c r="C30">
        <f>IF(Setup2!$B$2=A30,Setup2!$B$4,IF(Setup2!$B$3=A30,Setup2!$B$5,0))</f>
        <v>0</v>
      </c>
      <c r="D30" s="1">
        <f>IF(C30&gt;0,VLOOKUP(C30,'Job Traits'!$A$5:$C$6,3,TRUE),0)</f>
        <v>0</v>
      </c>
      <c r="E30">
        <v>0</v>
      </c>
      <c r="F30" s="15">
        <v>0</v>
      </c>
      <c r="G30" s="15">
        <v>0</v>
      </c>
      <c r="H30">
        <v>480</v>
      </c>
    </row>
    <row r="31" spans="1:8" ht="12.75">
      <c r="A31" s="12" t="s">
        <v>115</v>
      </c>
      <c r="B31" s="12">
        <v>7</v>
      </c>
      <c r="C31">
        <f>IF(Setup2!$B$2=A31,Setup2!$B$4,IF(Setup2!$B$3=A31,Setup2!$B$5,0))</f>
        <v>75</v>
      </c>
      <c r="D31" s="1">
        <f>IF(C31&gt;0,VLOOKUP(C31,'Job Traits'!$A$7:$C$9,3,TRUE),0)</f>
        <v>22</v>
      </c>
      <c r="E31" s="1">
        <f>IF(C31&gt;0,VLOOKUP(C31,'Job Traits'!$A$10:$C$10,3,TRUE),0)</f>
        <v>10</v>
      </c>
      <c r="F31" s="15">
        <v>0</v>
      </c>
      <c r="G31" s="15">
        <v>0</v>
      </c>
      <c r="H31">
        <v>480</v>
      </c>
    </row>
    <row r="32" spans="1:8" ht="12.75">
      <c r="A32" s="12" t="s">
        <v>112</v>
      </c>
      <c r="B32">
        <v>8</v>
      </c>
      <c r="C32">
        <f>IF(Setup2!$B$2=A32,Setup2!$B$4,IF(Setup2!$B$3=A32,Setup2!$B$5,0))</f>
        <v>0</v>
      </c>
      <c r="D32">
        <v>0</v>
      </c>
      <c r="E32" s="1">
        <f>IF(C32&gt;0,VLOOKUP(C32,'Job Traits'!$A$11:$C$14,3,TRUE),0)</f>
        <v>0</v>
      </c>
      <c r="F32" s="15">
        <v>0</v>
      </c>
      <c r="G32" s="15">
        <v>0</v>
      </c>
      <c r="H32">
        <v>480</v>
      </c>
    </row>
    <row r="33" spans="1:8" ht="12.75">
      <c r="A33" s="12" t="s">
        <v>106</v>
      </c>
      <c r="B33">
        <v>9</v>
      </c>
      <c r="C33">
        <f>IF(Setup2!$B$2=A33,Setup2!$B$4,IF(Setup2!$B$3=A33,Setup2!$B$5,0))</f>
        <v>0</v>
      </c>
      <c r="D33">
        <v>0</v>
      </c>
      <c r="E33">
        <v>0</v>
      </c>
      <c r="F33" s="15">
        <v>0</v>
      </c>
      <c r="G33" s="15">
        <v>0</v>
      </c>
      <c r="H33" s="1">
        <f>IF(C33&gt;0,VLOOKUP(C33,'Job Traits'!$A$17:$C$22,3,TRUE),480)</f>
        <v>480</v>
      </c>
    </row>
    <row r="34" spans="1:8" ht="12.75">
      <c r="A34" s="12" t="s">
        <v>119</v>
      </c>
      <c r="B34">
        <f aca="true" t="shared" si="1" ref="B34:B44">B33+1</f>
        <v>10</v>
      </c>
      <c r="C34">
        <f>IF(Setup2!$B$2=A34,Setup2!$B$4,IF(Setup2!$B$3=A34,Setup2!$B$5,0))</f>
        <v>0</v>
      </c>
      <c r="D34">
        <v>0</v>
      </c>
      <c r="E34">
        <v>0</v>
      </c>
      <c r="F34" s="6">
        <f>IF(C34&gt;0,VLOOKUP(C34,'Job Traits'!$A$23:$C$26,3,TRUE),0)</f>
        <v>0</v>
      </c>
      <c r="G34" s="15">
        <v>0</v>
      </c>
      <c r="H34">
        <v>480</v>
      </c>
    </row>
    <row r="35" spans="1:8" ht="12.75">
      <c r="A35" s="12" t="s">
        <v>111</v>
      </c>
      <c r="B35">
        <f t="shared" si="1"/>
        <v>11</v>
      </c>
      <c r="C35">
        <f>IF(Setup2!$B$2=A35,Setup2!$B$4,IF(Setup2!$B$3=A35,Setup2!$B$5,0))</f>
        <v>0</v>
      </c>
      <c r="D35">
        <v>0</v>
      </c>
      <c r="E35">
        <v>0</v>
      </c>
      <c r="F35" s="15">
        <v>0</v>
      </c>
      <c r="G35" s="15">
        <v>0</v>
      </c>
      <c r="H35">
        <v>480</v>
      </c>
    </row>
    <row r="36" spans="1:8" ht="12.75">
      <c r="A36" s="12" t="s">
        <v>116</v>
      </c>
      <c r="B36">
        <f t="shared" si="1"/>
        <v>12</v>
      </c>
      <c r="C36">
        <f>IF(Setup2!$B$2=A36,Setup2!$B$4,IF(Setup2!$B$3=A36,Setup2!$B$5,0))</f>
        <v>0</v>
      </c>
      <c r="D36">
        <v>0</v>
      </c>
      <c r="E36">
        <v>0</v>
      </c>
      <c r="F36" s="15">
        <v>0</v>
      </c>
      <c r="G36" s="15">
        <v>0</v>
      </c>
      <c r="H36" s="1">
        <f>IF(C36&gt;0,VLOOKUP(C36,'Job Traits'!$A$27:$C$29,3,TRUE),480)</f>
        <v>480</v>
      </c>
    </row>
    <row r="37" spans="1:8" ht="12.75">
      <c r="A37" s="12" t="s">
        <v>110</v>
      </c>
      <c r="B37">
        <f t="shared" si="1"/>
        <v>13</v>
      </c>
      <c r="C37">
        <f>IF(Setup2!$B$2=A37,Setup2!$B$4,IF(Setup2!$B$3=A37,Setup2!$B$5,0))</f>
        <v>0</v>
      </c>
      <c r="D37">
        <v>0</v>
      </c>
      <c r="E37">
        <v>0</v>
      </c>
      <c r="F37" s="15">
        <v>0</v>
      </c>
      <c r="G37" s="15">
        <v>0</v>
      </c>
      <c r="H37">
        <v>480</v>
      </c>
    </row>
    <row r="38" spans="1:8" ht="12.75">
      <c r="A38" s="12" t="s">
        <v>117</v>
      </c>
      <c r="B38">
        <f t="shared" si="1"/>
        <v>14</v>
      </c>
      <c r="C38">
        <f>IF(Setup2!$B$2=A38,Setup2!$B$4,IF(Setup2!$B$3=A38,Setup2!$B$5,0))</f>
        <v>0</v>
      </c>
      <c r="D38" s="1">
        <f>IF(C38&gt;0,VLOOKUP(C38,'Job Traits'!$A$30:$C$33,3,TRUE),0)</f>
        <v>0</v>
      </c>
      <c r="E38">
        <v>0</v>
      </c>
      <c r="F38" s="15">
        <v>0</v>
      </c>
      <c r="G38" s="15">
        <v>0</v>
      </c>
      <c r="H38">
        <v>480</v>
      </c>
    </row>
    <row r="39" spans="1:8" ht="12.75">
      <c r="A39" s="12" t="s">
        <v>118</v>
      </c>
      <c r="B39">
        <f t="shared" si="1"/>
        <v>15</v>
      </c>
      <c r="C39">
        <f>IF(Setup2!$B$2=A39,Setup2!$B$4,IF(Setup2!$B$3=A39,Setup2!$B$5,0))</f>
        <v>0</v>
      </c>
      <c r="D39">
        <v>0</v>
      </c>
      <c r="E39">
        <v>0</v>
      </c>
      <c r="F39" s="15">
        <v>0</v>
      </c>
      <c r="G39" s="6">
        <f>IF(C39&gt;0,VLOOKUP(C39,'Job Traits'!$A$36:$C$39,3,TRUE),0)</f>
        <v>0</v>
      </c>
      <c r="H39">
        <v>480</v>
      </c>
    </row>
    <row r="40" spans="1:8" ht="12.75">
      <c r="A40" s="12" t="s">
        <v>122</v>
      </c>
      <c r="B40">
        <f t="shared" si="1"/>
        <v>16</v>
      </c>
      <c r="C40">
        <f>IF(Setup2!$B$2=A40,Setup2!$B$4,IF(Setup2!$B$3=A40,Setup2!$B$5,0))</f>
        <v>0</v>
      </c>
      <c r="D40">
        <v>0</v>
      </c>
      <c r="E40">
        <v>0</v>
      </c>
      <c r="F40" s="15">
        <v>0</v>
      </c>
      <c r="G40" s="15">
        <v>0</v>
      </c>
      <c r="H40">
        <v>480</v>
      </c>
    </row>
    <row r="41" spans="1:8" ht="12.75">
      <c r="A41" s="12" t="s">
        <v>114</v>
      </c>
      <c r="B41">
        <f t="shared" si="1"/>
        <v>17</v>
      </c>
      <c r="C41">
        <f>IF(Setup2!$B$2=A41,Setup2!$B$4,IF(Setup2!$B$3=A41,Setup2!$B$5,0))</f>
        <v>0</v>
      </c>
      <c r="D41">
        <v>0</v>
      </c>
      <c r="E41">
        <v>0</v>
      </c>
      <c r="F41" s="15">
        <v>0</v>
      </c>
      <c r="G41" s="15">
        <v>0</v>
      </c>
      <c r="H41">
        <v>480</v>
      </c>
    </row>
    <row r="42" spans="1:8" ht="12.75">
      <c r="A42" s="12" t="s">
        <v>107</v>
      </c>
      <c r="B42">
        <f t="shared" si="1"/>
        <v>18</v>
      </c>
      <c r="C42">
        <f>IF(Setup2!$B$2=A42,Setup2!$B$4,IF(Setup2!$B$3=A42,Setup2!$B$5,0))</f>
        <v>0</v>
      </c>
      <c r="D42">
        <v>0</v>
      </c>
      <c r="E42">
        <v>0</v>
      </c>
      <c r="F42" s="15">
        <v>0</v>
      </c>
      <c r="G42" s="15">
        <v>0</v>
      </c>
      <c r="H42">
        <v>480</v>
      </c>
    </row>
    <row r="43" spans="1:8" ht="12.75">
      <c r="A43" s="12" t="s">
        <v>105</v>
      </c>
      <c r="B43">
        <f t="shared" si="1"/>
        <v>19</v>
      </c>
      <c r="C43">
        <f>IF(Setup2!$B$2=A43,Setup2!$B$4,IF(Setup2!$B$3=A43,Setup2!$B$5,0))</f>
        <v>37</v>
      </c>
      <c r="D43">
        <v>0</v>
      </c>
      <c r="E43" s="1">
        <f>IF(C43&gt;0,VLOOKUP(C43,'Job Traits'!$A$43:$C$44,3,TRUE),0)</f>
        <v>10</v>
      </c>
      <c r="F43" s="15">
        <v>0</v>
      </c>
      <c r="G43" s="15">
        <v>0</v>
      </c>
      <c r="H43">
        <v>480</v>
      </c>
    </row>
    <row r="44" spans="1:8" ht="12.75">
      <c r="A44" s="12" t="s">
        <v>108</v>
      </c>
      <c r="B44">
        <f t="shared" si="1"/>
        <v>20</v>
      </c>
      <c r="C44">
        <f>IF(Setup2!$B$2=A44,Setup2!$B$4,IF(Setup2!$B$3=A44,Setup2!$B$5,0))</f>
        <v>0</v>
      </c>
      <c r="D44">
        <v>0</v>
      </c>
      <c r="E44">
        <v>0</v>
      </c>
      <c r="F44" s="15">
        <v>0</v>
      </c>
      <c r="G44" s="15">
        <v>0</v>
      </c>
      <c r="H44">
        <v>480</v>
      </c>
    </row>
    <row r="45" spans="1:8" ht="12.75">
      <c r="A45" s="12" t="s">
        <v>231</v>
      </c>
      <c r="D45">
        <f>MAX(D25:D44)</f>
        <v>22</v>
      </c>
      <c r="E45">
        <f>MAX(E25:E44)</f>
        <v>10</v>
      </c>
      <c r="F45">
        <f>MAX(F25:F44)</f>
        <v>0</v>
      </c>
      <c r="G45" s="15">
        <f>MAX(G25:G44)</f>
        <v>0</v>
      </c>
      <c r="H45">
        <f>MIN(H33,H36)</f>
        <v>480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E6" sqref="E6"/>
    </sheetView>
  </sheetViews>
  <sheetFormatPr defaultColWidth="9.140625" defaultRowHeight="12.75"/>
  <cols>
    <col min="1" max="1" width="12.7109375" style="0" bestFit="1" customWidth="1"/>
    <col min="2" max="2" width="6.00390625" style="0" bestFit="1" customWidth="1"/>
    <col min="3" max="3" width="9.57421875" style="0" bestFit="1" customWidth="1"/>
    <col min="5" max="5" width="41.57421875" style="0" bestFit="1" customWidth="1"/>
    <col min="6" max="6" width="18.7109375" style="0" bestFit="1" customWidth="1"/>
    <col min="7" max="7" width="8.28125" style="0" bestFit="1" customWidth="1"/>
    <col min="8" max="8" width="35.7109375" style="0" bestFit="1" customWidth="1"/>
    <col min="9" max="9" width="8.28125" style="0" bestFit="1" customWidth="1"/>
    <col min="10" max="10" width="8.140625" style="0" bestFit="1" customWidth="1"/>
    <col min="11" max="11" width="5.00390625" style="0" bestFit="1" customWidth="1"/>
    <col min="12" max="12" width="14.8515625" style="0" bestFit="1" customWidth="1"/>
    <col min="13" max="13" width="5.57421875" style="0" bestFit="1" customWidth="1"/>
    <col min="14" max="14" width="6.8515625" style="0" bestFit="1" customWidth="1"/>
    <col min="15" max="15" width="8.140625" style="0" bestFit="1" customWidth="1"/>
    <col min="16" max="16" width="5.00390625" style="0" bestFit="1" customWidth="1"/>
    <col min="17" max="17" width="14.8515625" style="0" bestFit="1" customWidth="1"/>
    <col min="18" max="18" width="5.57421875" style="0" bestFit="1" customWidth="1"/>
  </cols>
  <sheetData>
    <row r="1" spans="1:18" s="45" customFormat="1" ht="12.75">
      <c r="A1" s="45" t="s">
        <v>169</v>
      </c>
      <c r="B1" s="45" t="s">
        <v>5</v>
      </c>
      <c r="C1" s="45" t="s">
        <v>171</v>
      </c>
      <c r="D1" s="45" t="s">
        <v>172</v>
      </c>
      <c r="E1" s="45" t="s">
        <v>181</v>
      </c>
      <c r="I1" s="45" t="s">
        <v>322</v>
      </c>
      <c r="J1" s="45" t="s">
        <v>321</v>
      </c>
      <c r="K1" s="45" t="s">
        <v>8</v>
      </c>
      <c r="L1" s="45" t="s">
        <v>320</v>
      </c>
      <c r="M1" s="45" t="s">
        <v>324</v>
      </c>
      <c r="N1" s="45" t="s">
        <v>323</v>
      </c>
      <c r="O1" s="45" t="s">
        <v>321</v>
      </c>
      <c r="P1" s="45" t="s">
        <v>8</v>
      </c>
      <c r="Q1" s="45" t="s">
        <v>320</v>
      </c>
      <c r="R1" s="45" t="s">
        <v>324</v>
      </c>
    </row>
    <row r="2" spans="1:18" ht="12.75">
      <c r="A2" s="12" t="s">
        <v>115</v>
      </c>
      <c r="J2" s="26">
        <f>Setup1!$G$54</f>
        <v>5.538461538461538</v>
      </c>
      <c r="K2">
        <f>Setup1!$G$6</f>
        <v>1474</v>
      </c>
      <c r="L2">
        <f>FLOOR(K2*0.1,1)</f>
        <v>147</v>
      </c>
      <c r="M2">
        <f>L2</f>
        <v>147</v>
      </c>
      <c r="O2" s="26">
        <f>Setup2!$G$54</f>
        <v>5.769230769230769</v>
      </c>
      <c r="P2">
        <f>Setup2!$G$6</f>
        <v>1474</v>
      </c>
      <c r="Q2">
        <f>FLOOR(P2*0.1,1)</f>
        <v>147</v>
      </c>
      <c r="R2">
        <f>Q2</f>
        <v>147</v>
      </c>
    </row>
    <row r="3" spans="1:18" ht="12.75">
      <c r="A3" s="12" t="s">
        <v>170</v>
      </c>
      <c r="B3">
        <v>0</v>
      </c>
      <c r="C3">
        <v>50000</v>
      </c>
      <c r="D3">
        <v>1</v>
      </c>
      <c r="E3" s="25" t="s">
        <v>174</v>
      </c>
      <c r="J3" s="26">
        <f aca="true" t="shared" si="0" ref="J3:J10">J2+$J$2</f>
        <v>11.076923076923077</v>
      </c>
      <c r="K3">
        <f aca="true" t="shared" si="1" ref="K3:K10">K2-L2</f>
        <v>1327</v>
      </c>
      <c r="L3">
        <f>FLOOR(K3*0.1,1)</f>
        <v>132</v>
      </c>
      <c r="M3">
        <f aca="true" t="shared" si="2" ref="M3:M10">M2+L3</f>
        <v>279</v>
      </c>
      <c r="O3" s="26">
        <f aca="true" t="shared" si="3" ref="O3:O10">O2+$O$2</f>
        <v>11.538461538461538</v>
      </c>
      <c r="P3">
        <f aca="true" t="shared" si="4" ref="P3:P10">P2-Q2</f>
        <v>1327</v>
      </c>
      <c r="Q3">
        <f>FLOOR(P3*0.1,1)</f>
        <v>132</v>
      </c>
      <c r="R3">
        <f aca="true" t="shared" si="5" ref="R3:R10">R2+Q3</f>
        <v>279</v>
      </c>
    </row>
    <row r="4" spans="1:18" ht="12.75">
      <c r="A4" s="12" t="s">
        <v>170</v>
      </c>
      <c r="B4">
        <v>10</v>
      </c>
      <c r="C4">
        <v>90</v>
      </c>
      <c r="D4">
        <v>1</v>
      </c>
      <c r="E4" s="25" t="s">
        <v>174</v>
      </c>
      <c r="J4" s="26">
        <f t="shared" si="0"/>
        <v>16.615384615384613</v>
      </c>
      <c r="K4">
        <f t="shared" si="1"/>
        <v>1195</v>
      </c>
      <c r="L4">
        <f aca="true" t="shared" si="6" ref="L4:L35">FLOOR(K4*0.1,1)</f>
        <v>119</v>
      </c>
      <c r="M4">
        <f t="shared" si="2"/>
        <v>398</v>
      </c>
      <c r="O4" s="26">
        <f t="shared" si="3"/>
        <v>17.307692307692307</v>
      </c>
      <c r="P4">
        <f t="shared" si="4"/>
        <v>1195</v>
      </c>
      <c r="Q4">
        <f aca="true" t="shared" si="7" ref="Q4:Q35">FLOOR(P4*0.1,1)</f>
        <v>119</v>
      </c>
      <c r="R4">
        <f t="shared" si="5"/>
        <v>398</v>
      </c>
    </row>
    <row r="5" spans="1:18" ht="12.75">
      <c r="A5" s="12" t="s">
        <v>170</v>
      </c>
      <c r="B5">
        <v>75</v>
      </c>
      <c r="C5">
        <v>90</v>
      </c>
      <c r="D5">
        <v>1</v>
      </c>
      <c r="E5" s="25" t="s">
        <v>174</v>
      </c>
      <c r="J5" s="26">
        <f t="shared" si="0"/>
        <v>22.153846153846153</v>
      </c>
      <c r="K5">
        <f t="shared" si="1"/>
        <v>1076</v>
      </c>
      <c r="L5">
        <f t="shared" si="6"/>
        <v>107</v>
      </c>
      <c r="M5">
        <f t="shared" si="2"/>
        <v>505</v>
      </c>
      <c r="O5" s="26">
        <f t="shared" si="3"/>
        <v>23.076923076923077</v>
      </c>
      <c r="P5">
        <f t="shared" si="4"/>
        <v>1076</v>
      </c>
      <c r="Q5">
        <f t="shared" si="7"/>
        <v>107</v>
      </c>
      <c r="R5">
        <f t="shared" si="5"/>
        <v>505</v>
      </c>
    </row>
    <row r="6" spans="1:18" ht="12.75">
      <c r="A6" s="12" t="s">
        <v>173</v>
      </c>
      <c r="B6">
        <v>0</v>
      </c>
      <c r="C6">
        <v>50000</v>
      </c>
      <c r="D6">
        <v>1</v>
      </c>
      <c r="E6" s="12" t="s">
        <v>183</v>
      </c>
      <c r="J6" s="26">
        <f t="shared" si="0"/>
        <v>27.692307692307693</v>
      </c>
      <c r="K6">
        <f t="shared" si="1"/>
        <v>969</v>
      </c>
      <c r="L6">
        <f t="shared" si="6"/>
        <v>96</v>
      </c>
      <c r="M6">
        <f t="shared" si="2"/>
        <v>601</v>
      </c>
      <c r="O6" s="26">
        <f t="shared" si="3"/>
        <v>28.846153846153847</v>
      </c>
      <c r="P6">
        <f t="shared" si="4"/>
        <v>969</v>
      </c>
      <c r="Q6">
        <f t="shared" si="7"/>
        <v>96</v>
      </c>
      <c r="R6">
        <f t="shared" si="5"/>
        <v>601</v>
      </c>
    </row>
    <row r="7" spans="1:18" ht="12.75">
      <c r="A7" s="12" t="s">
        <v>173</v>
      </c>
      <c r="B7">
        <v>35</v>
      </c>
      <c r="C7">
        <v>180</v>
      </c>
      <c r="D7">
        <v>1</v>
      </c>
      <c r="E7" s="12" t="s">
        <v>183</v>
      </c>
      <c r="J7" s="26">
        <f t="shared" si="0"/>
        <v>33.23076923076923</v>
      </c>
      <c r="K7">
        <f t="shared" si="1"/>
        <v>873</v>
      </c>
      <c r="L7">
        <f t="shared" si="6"/>
        <v>87</v>
      </c>
      <c r="M7">
        <f t="shared" si="2"/>
        <v>688</v>
      </c>
      <c r="O7" s="26">
        <f t="shared" si="3"/>
        <v>34.61538461538461</v>
      </c>
      <c r="P7">
        <f t="shared" si="4"/>
        <v>873</v>
      </c>
      <c r="Q7">
        <f t="shared" si="7"/>
        <v>87</v>
      </c>
      <c r="R7">
        <f t="shared" si="5"/>
        <v>688</v>
      </c>
    </row>
    <row r="8" spans="1:18" ht="12.75">
      <c r="A8" s="12" t="s">
        <v>173</v>
      </c>
      <c r="B8">
        <v>75</v>
      </c>
      <c r="C8">
        <v>180</v>
      </c>
      <c r="D8">
        <v>1</v>
      </c>
      <c r="E8" s="12" t="s">
        <v>183</v>
      </c>
      <c r="J8" s="26">
        <f t="shared" si="0"/>
        <v>38.769230769230774</v>
      </c>
      <c r="K8">
        <f t="shared" si="1"/>
        <v>786</v>
      </c>
      <c r="L8">
        <f t="shared" si="6"/>
        <v>78</v>
      </c>
      <c r="M8">
        <f t="shared" si="2"/>
        <v>766</v>
      </c>
      <c r="O8" s="26">
        <f t="shared" si="3"/>
        <v>40.38461538461538</v>
      </c>
      <c r="P8">
        <f t="shared" si="4"/>
        <v>786</v>
      </c>
      <c r="Q8">
        <f t="shared" si="7"/>
        <v>78</v>
      </c>
      <c r="R8">
        <f t="shared" si="5"/>
        <v>766</v>
      </c>
    </row>
    <row r="9" spans="10:18" ht="12.75">
      <c r="J9" s="26">
        <f t="shared" si="0"/>
        <v>44.307692307692314</v>
      </c>
      <c r="K9">
        <f t="shared" si="1"/>
        <v>708</v>
      </c>
      <c r="L9">
        <f t="shared" si="6"/>
        <v>70</v>
      </c>
      <c r="M9">
        <f t="shared" si="2"/>
        <v>836</v>
      </c>
      <c r="O9" s="26">
        <f t="shared" si="3"/>
        <v>46.153846153846146</v>
      </c>
      <c r="P9">
        <f t="shared" si="4"/>
        <v>708</v>
      </c>
      <c r="Q9">
        <f t="shared" si="7"/>
        <v>70</v>
      </c>
      <c r="R9">
        <f t="shared" si="5"/>
        <v>836</v>
      </c>
    </row>
    <row r="10" spans="1:18" ht="12.75">
      <c r="A10" s="12" t="s">
        <v>112</v>
      </c>
      <c r="I10" s="12" t="s">
        <v>312</v>
      </c>
      <c r="J10" s="26">
        <f t="shared" si="0"/>
        <v>49.846153846153854</v>
      </c>
      <c r="K10">
        <f t="shared" si="1"/>
        <v>638</v>
      </c>
      <c r="L10">
        <f t="shared" si="6"/>
        <v>63</v>
      </c>
      <c r="M10">
        <f t="shared" si="2"/>
        <v>899</v>
      </c>
      <c r="O10" s="26">
        <f t="shared" si="3"/>
        <v>51.92307692307691</v>
      </c>
      <c r="P10">
        <f t="shared" si="4"/>
        <v>638</v>
      </c>
      <c r="Q10">
        <f t="shared" si="7"/>
        <v>63</v>
      </c>
      <c r="R10">
        <f t="shared" si="5"/>
        <v>899</v>
      </c>
    </row>
    <row r="11" spans="1:18" ht="12.75">
      <c r="A11" s="12" t="s">
        <v>98</v>
      </c>
      <c r="B11">
        <v>0</v>
      </c>
      <c r="C11">
        <v>50000</v>
      </c>
      <c r="D11">
        <v>30</v>
      </c>
      <c r="E11" s="17">
        <v>0</v>
      </c>
      <c r="F11" s="12" t="s">
        <v>163</v>
      </c>
      <c r="G11" s="17">
        <f>D11/C11</f>
        <v>0.0006</v>
      </c>
      <c r="I11" s="17">
        <f>D11/C11</f>
        <v>0.0006</v>
      </c>
      <c r="J11" s="26">
        <f aca="true" t="shared" si="8" ref="J11:J35">J10+$J$2</f>
        <v>55.384615384615394</v>
      </c>
      <c r="K11">
        <f aca="true" t="shared" si="9" ref="K11:K35">K10-L10</f>
        <v>575</v>
      </c>
      <c r="L11">
        <f t="shared" si="6"/>
        <v>57</v>
      </c>
      <c r="M11">
        <f aca="true" t="shared" si="10" ref="M11:M35">M10+L11</f>
        <v>956</v>
      </c>
      <c r="O11" s="26">
        <f aca="true" t="shared" si="11" ref="O11:O35">O10+$O$2</f>
        <v>57.69230769230768</v>
      </c>
      <c r="P11">
        <f aca="true" t="shared" si="12" ref="P11:P35">P10-Q10</f>
        <v>575</v>
      </c>
      <c r="Q11">
        <f t="shared" si="7"/>
        <v>57</v>
      </c>
      <c r="R11">
        <f aca="true" t="shared" si="13" ref="R11:R35">R10+Q11</f>
        <v>956</v>
      </c>
    </row>
    <row r="12" spans="1:18" ht="12.75">
      <c r="A12" s="12" t="s">
        <v>98</v>
      </c>
      <c r="B12">
        <v>15</v>
      </c>
      <c r="C12">
        <v>300</v>
      </c>
      <c r="D12">
        <v>30</v>
      </c>
      <c r="E12" s="17">
        <f>38/256</f>
        <v>0.1484375</v>
      </c>
      <c r="F12" s="12" t="s">
        <v>163</v>
      </c>
      <c r="G12" s="17">
        <f>D12/C12</f>
        <v>0.1</v>
      </c>
      <c r="I12" s="17">
        <f>D12/C12</f>
        <v>0.1</v>
      </c>
      <c r="J12" s="26">
        <f t="shared" si="8"/>
        <v>60.923076923076934</v>
      </c>
      <c r="K12">
        <f t="shared" si="9"/>
        <v>518</v>
      </c>
      <c r="L12">
        <f t="shared" si="6"/>
        <v>51</v>
      </c>
      <c r="M12">
        <f t="shared" si="10"/>
        <v>1007</v>
      </c>
      <c r="O12" s="26">
        <f t="shared" si="11"/>
        <v>63.461538461538446</v>
      </c>
      <c r="P12">
        <f t="shared" si="12"/>
        <v>518</v>
      </c>
      <c r="Q12">
        <f t="shared" si="7"/>
        <v>51</v>
      </c>
      <c r="R12">
        <f t="shared" si="13"/>
        <v>1007</v>
      </c>
    </row>
    <row r="13" spans="1:18" ht="12.75">
      <c r="A13" s="12" t="s">
        <v>98</v>
      </c>
      <c r="B13">
        <v>75</v>
      </c>
      <c r="C13">
        <v>290</v>
      </c>
      <c r="D13">
        <v>30</v>
      </c>
      <c r="E13" s="17">
        <f>43/256</f>
        <v>0.16796875</v>
      </c>
      <c r="F13" s="12" t="s">
        <v>163</v>
      </c>
      <c r="G13" s="17">
        <f>D13/C13</f>
        <v>0.10344827586206896</v>
      </c>
      <c r="I13" s="17">
        <f>D13/C13</f>
        <v>0.10344827586206896</v>
      </c>
      <c r="J13" s="26">
        <f t="shared" si="8"/>
        <v>66.46153846153847</v>
      </c>
      <c r="K13">
        <f t="shared" si="9"/>
        <v>467</v>
      </c>
      <c r="L13">
        <f t="shared" si="6"/>
        <v>46</v>
      </c>
      <c r="M13">
        <f t="shared" si="10"/>
        <v>1053</v>
      </c>
      <c r="O13" s="26">
        <f t="shared" si="11"/>
        <v>69.23076923076921</v>
      </c>
      <c r="P13">
        <f t="shared" si="12"/>
        <v>467</v>
      </c>
      <c r="Q13">
        <f t="shared" si="7"/>
        <v>46</v>
      </c>
      <c r="R13">
        <f t="shared" si="13"/>
        <v>1053</v>
      </c>
    </row>
    <row r="14" spans="1:18" ht="12.75">
      <c r="A14" s="12" t="s">
        <v>182</v>
      </c>
      <c r="B14">
        <v>0</v>
      </c>
      <c r="C14">
        <v>50000</v>
      </c>
      <c r="D14">
        <v>1</v>
      </c>
      <c r="E14" s="12" t="s">
        <v>184</v>
      </c>
      <c r="F14" s="12"/>
      <c r="G14" s="17"/>
      <c r="I14" s="17"/>
      <c r="J14" s="26">
        <f t="shared" si="8"/>
        <v>72</v>
      </c>
      <c r="K14">
        <f t="shared" si="9"/>
        <v>421</v>
      </c>
      <c r="L14">
        <f t="shared" si="6"/>
        <v>42</v>
      </c>
      <c r="M14">
        <f t="shared" si="10"/>
        <v>1095</v>
      </c>
      <c r="O14" s="26">
        <f t="shared" si="11"/>
        <v>74.99999999999999</v>
      </c>
      <c r="P14">
        <f t="shared" si="12"/>
        <v>421</v>
      </c>
      <c r="Q14">
        <f t="shared" si="7"/>
        <v>42</v>
      </c>
      <c r="R14">
        <f t="shared" si="13"/>
        <v>1095</v>
      </c>
    </row>
    <row r="15" spans="1:18" ht="12.75">
      <c r="A15" s="12" t="s">
        <v>182</v>
      </c>
      <c r="B15">
        <v>20</v>
      </c>
      <c r="C15">
        <v>300</v>
      </c>
      <c r="D15">
        <v>1</v>
      </c>
      <c r="E15" s="12" t="s">
        <v>184</v>
      </c>
      <c r="I15" s="17"/>
      <c r="J15" s="26">
        <f t="shared" si="8"/>
        <v>77.53846153846153</v>
      </c>
      <c r="K15">
        <f t="shared" si="9"/>
        <v>379</v>
      </c>
      <c r="L15">
        <f t="shared" si="6"/>
        <v>37</v>
      </c>
      <c r="M15">
        <f t="shared" si="10"/>
        <v>1132</v>
      </c>
      <c r="O15" s="26">
        <f t="shared" si="11"/>
        <v>80.76923076923076</v>
      </c>
      <c r="P15">
        <f t="shared" si="12"/>
        <v>379</v>
      </c>
      <c r="Q15">
        <f t="shared" si="7"/>
        <v>37</v>
      </c>
      <c r="R15">
        <f t="shared" si="13"/>
        <v>1132</v>
      </c>
    </row>
    <row r="16" spans="1:18" ht="12.75">
      <c r="A16" s="12" t="s">
        <v>182</v>
      </c>
      <c r="B16">
        <v>75</v>
      </c>
      <c r="C16">
        <v>300</v>
      </c>
      <c r="D16">
        <v>1</v>
      </c>
      <c r="E16" s="12" t="s">
        <v>184</v>
      </c>
      <c r="I16" s="17"/>
      <c r="J16" s="26">
        <f t="shared" si="8"/>
        <v>83.07692307692307</v>
      </c>
      <c r="K16">
        <f t="shared" si="9"/>
        <v>342</v>
      </c>
      <c r="L16">
        <f t="shared" si="6"/>
        <v>34</v>
      </c>
      <c r="M16">
        <f t="shared" si="10"/>
        <v>1166</v>
      </c>
      <c r="O16" s="26">
        <f t="shared" si="11"/>
        <v>86.53846153846153</v>
      </c>
      <c r="P16">
        <f t="shared" si="12"/>
        <v>342</v>
      </c>
      <c r="Q16">
        <f t="shared" si="7"/>
        <v>34</v>
      </c>
      <c r="R16">
        <f t="shared" si="13"/>
        <v>1166</v>
      </c>
    </row>
    <row r="17" spans="1:18" ht="12.75">
      <c r="A17" s="12" t="s">
        <v>185</v>
      </c>
      <c r="B17">
        <v>0</v>
      </c>
      <c r="C17">
        <v>50000</v>
      </c>
      <c r="D17">
        <v>60</v>
      </c>
      <c r="E17">
        <v>25</v>
      </c>
      <c r="F17" s="18">
        <v>0.1</v>
      </c>
      <c r="G17" s="15">
        <v>0.05</v>
      </c>
      <c r="H17" s="12" t="s">
        <v>188</v>
      </c>
      <c r="I17" s="17">
        <f>D17/C17</f>
        <v>0.0012</v>
      </c>
      <c r="J17" s="26">
        <f t="shared" si="8"/>
        <v>88.6153846153846</v>
      </c>
      <c r="K17">
        <f t="shared" si="9"/>
        <v>308</v>
      </c>
      <c r="L17">
        <f t="shared" si="6"/>
        <v>30</v>
      </c>
      <c r="M17">
        <f t="shared" si="10"/>
        <v>1196</v>
      </c>
      <c r="O17" s="26">
        <f t="shared" si="11"/>
        <v>92.3076923076923</v>
      </c>
      <c r="P17">
        <f t="shared" si="12"/>
        <v>308</v>
      </c>
      <c r="Q17">
        <f t="shared" si="7"/>
        <v>30</v>
      </c>
      <c r="R17">
        <f t="shared" si="13"/>
        <v>1196</v>
      </c>
    </row>
    <row r="18" spans="1:18" ht="12.75">
      <c r="A18" s="12" t="s">
        <v>185</v>
      </c>
      <c r="B18">
        <v>30</v>
      </c>
      <c r="C18">
        <v>360</v>
      </c>
      <c r="D18">
        <v>60</v>
      </c>
      <c r="E18">
        <v>25</v>
      </c>
      <c r="F18" s="18">
        <v>0.1</v>
      </c>
      <c r="G18" s="15">
        <v>0.05</v>
      </c>
      <c r="H18" s="12" t="s">
        <v>188</v>
      </c>
      <c r="I18" s="17">
        <f>D18/C18</f>
        <v>0.16666666666666666</v>
      </c>
      <c r="J18" s="26">
        <f t="shared" si="8"/>
        <v>94.15384615384613</v>
      </c>
      <c r="K18">
        <f t="shared" si="9"/>
        <v>278</v>
      </c>
      <c r="L18">
        <f t="shared" si="6"/>
        <v>27</v>
      </c>
      <c r="M18">
        <f t="shared" si="10"/>
        <v>1223</v>
      </c>
      <c r="O18" s="26">
        <f t="shared" si="11"/>
        <v>98.07692307692308</v>
      </c>
      <c r="P18">
        <f t="shared" si="12"/>
        <v>278</v>
      </c>
      <c r="Q18">
        <f t="shared" si="7"/>
        <v>27</v>
      </c>
      <c r="R18">
        <f t="shared" si="13"/>
        <v>1223</v>
      </c>
    </row>
    <row r="19" spans="1:18" ht="12.75">
      <c r="A19" s="12" t="s">
        <v>185</v>
      </c>
      <c r="B19">
        <v>75</v>
      </c>
      <c r="C19">
        <v>360</v>
      </c>
      <c r="D19">
        <v>60</v>
      </c>
      <c r="E19">
        <v>25</v>
      </c>
      <c r="F19" s="18">
        <v>0.1</v>
      </c>
      <c r="G19" s="15">
        <v>0.05</v>
      </c>
      <c r="H19" s="12" t="s">
        <v>188</v>
      </c>
      <c r="I19" s="17">
        <f>D19/C19</f>
        <v>0.16666666666666666</v>
      </c>
      <c r="J19" s="26">
        <f t="shared" si="8"/>
        <v>99.69230769230766</v>
      </c>
      <c r="K19">
        <f t="shared" si="9"/>
        <v>251</v>
      </c>
      <c r="L19">
        <f t="shared" si="6"/>
        <v>25</v>
      </c>
      <c r="M19">
        <f t="shared" si="10"/>
        <v>1248</v>
      </c>
      <c r="O19" s="26">
        <f t="shared" si="11"/>
        <v>103.84615384615385</v>
      </c>
      <c r="P19">
        <f t="shared" si="12"/>
        <v>251</v>
      </c>
      <c r="Q19">
        <f t="shared" si="7"/>
        <v>25</v>
      </c>
      <c r="R19">
        <f t="shared" si="13"/>
        <v>1248</v>
      </c>
    </row>
    <row r="20" spans="1:18" ht="12.75">
      <c r="A20" s="12" t="s">
        <v>186</v>
      </c>
      <c r="B20">
        <v>0</v>
      </c>
      <c r="C20">
        <v>50000</v>
      </c>
      <c r="D20">
        <v>180</v>
      </c>
      <c r="E20">
        <v>0</v>
      </c>
      <c r="F20" s="12" t="s">
        <v>187</v>
      </c>
      <c r="G20" s="17">
        <f>D20/C20</f>
        <v>0.0036</v>
      </c>
      <c r="H20" s="12"/>
      <c r="I20" s="17"/>
      <c r="J20" s="26">
        <f t="shared" si="8"/>
        <v>105.2307692307692</v>
      </c>
      <c r="K20">
        <f t="shared" si="9"/>
        <v>226</v>
      </c>
      <c r="L20">
        <f t="shared" si="6"/>
        <v>22</v>
      </c>
      <c r="M20">
        <f t="shared" si="10"/>
        <v>1270</v>
      </c>
      <c r="O20" s="26">
        <f t="shared" si="11"/>
        <v>109.61538461538463</v>
      </c>
      <c r="P20">
        <f t="shared" si="12"/>
        <v>226</v>
      </c>
      <c r="Q20">
        <f t="shared" si="7"/>
        <v>22</v>
      </c>
      <c r="R20">
        <f t="shared" si="13"/>
        <v>1270</v>
      </c>
    </row>
    <row r="21" spans="1:18" ht="12.75">
      <c r="A21" s="12" t="s">
        <v>186</v>
      </c>
      <c r="B21">
        <v>75</v>
      </c>
      <c r="C21">
        <v>900</v>
      </c>
      <c r="D21">
        <v>180</v>
      </c>
      <c r="E21">
        <v>20</v>
      </c>
      <c r="F21" s="12" t="s">
        <v>187</v>
      </c>
      <c r="G21" s="17">
        <f>D21/C21</f>
        <v>0.2</v>
      </c>
      <c r="I21" s="17">
        <f>D21/C21</f>
        <v>0.2</v>
      </c>
      <c r="J21" s="26">
        <f t="shared" si="8"/>
        <v>110.76923076923073</v>
      </c>
      <c r="K21">
        <f t="shared" si="9"/>
        <v>204</v>
      </c>
      <c r="L21">
        <f t="shared" si="6"/>
        <v>20</v>
      </c>
      <c r="M21">
        <f t="shared" si="10"/>
        <v>1290</v>
      </c>
      <c r="O21" s="26">
        <f t="shared" si="11"/>
        <v>115.3846153846154</v>
      </c>
      <c r="P21">
        <f t="shared" si="12"/>
        <v>204</v>
      </c>
      <c r="Q21">
        <f t="shared" si="7"/>
        <v>20</v>
      </c>
      <c r="R21">
        <f t="shared" si="13"/>
        <v>1290</v>
      </c>
    </row>
    <row r="22" spans="10:18" ht="12.75">
      <c r="J22" s="26">
        <f t="shared" si="8"/>
        <v>116.30769230769226</v>
      </c>
      <c r="K22">
        <f t="shared" si="9"/>
        <v>184</v>
      </c>
      <c r="L22">
        <f t="shared" si="6"/>
        <v>18</v>
      </c>
      <c r="M22">
        <f t="shared" si="10"/>
        <v>1308</v>
      </c>
      <c r="O22" s="26">
        <f t="shared" si="11"/>
        <v>121.15384615384617</v>
      </c>
      <c r="P22">
        <f t="shared" si="12"/>
        <v>184</v>
      </c>
      <c r="Q22">
        <f t="shared" si="7"/>
        <v>18</v>
      </c>
      <c r="R22">
        <f t="shared" si="13"/>
        <v>1308</v>
      </c>
    </row>
    <row r="23" spans="1:18" ht="12.75">
      <c r="A23" s="12" t="s">
        <v>106</v>
      </c>
      <c r="G23" s="12" t="s">
        <v>312</v>
      </c>
      <c r="J23" s="26">
        <f t="shared" si="8"/>
        <v>121.8461538461538</v>
      </c>
      <c r="K23">
        <f t="shared" si="9"/>
        <v>166</v>
      </c>
      <c r="L23">
        <f t="shared" si="6"/>
        <v>16</v>
      </c>
      <c r="M23">
        <f t="shared" si="10"/>
        <v>1324</v>
      </c>
      <c r="O23" s="26">
        <f t="shared" si="11"/>
        <v>126.92307692307695</v>
      </c>
      <c r="P23">
        <f t="shared" si="12"/>
        <v>166</v>
      </c>
      <c r="Q23">
        <f t="shared" si="7"/>
        <v>16</v>
      </c>
      <c r="R23">
        <f t="shared" si="13"/>
        <v>1324</v>
      </c>
    </row>
    <row r="24" spans="1:18" ht="12.75">
      <c r="A24" s="12" t="s">
        <v>195</v>
      </c>
      <c r="B24">
        <v>0</v>
      </c>
      <c r="C24">
        <v>15</v>
      </c>
      <c r="D24">
        <v>1</v>
      </c>
      <c r="E24" s="19">
        <v>0</v>
      </c>
      <c r="F24" s="12" t="s">
        <v>196</v>
      </c>
      <c r="J24" s="26">
        <f t="shared" si="8"/>
        <v>127.38461538461533</v>
      </c>
      <c r="K24">
        <f t="shared" si="9"/>
        <v>150</v>
      </c>
      <c r="L24">
        <f t="shared" si="6"/>
        <v>15</v>
      </c>
      <c r="M24">
        <f t="shared" si="10"/>
        <v>1339</v>
      </c>
      <c r="O24" s="26">
        <f t="shared" si="11"/>
        <v>132.6923076923077</v>
      </c>
      <c r="P24">
        <f t="shared" si="12"/>
        <v>150</v>
      </c>
      <c r="Q24">
        <f t="shared" si="7"/>
        <v>15</v>
      </c>
      <c r="R24">
        <f t="shared" si="13"/>
        <v>1339</v>
      </c>
    </row>
    <row r="25" spans="1:18" ht="12.75">
      <c r="A25" s="12" t="s">
        <v>195</v>
      </c>
      <c r="B25">
        <v>5</v>
      </c>
      <c r="C25">
        <v>15</v>
      </c>
      <c r="D25">
        <v>1</v>
      </c>
      <c r="E25" s="19">
        <v>0.125</v>
      </c>
      <c r="F25" s="12" t="s">
        <v>196</v>
      </c>
      <c r="J25" s="26">
        <f t="shared" si="8"/>
        <v>132.92307692307688</v>
      </c>
      <c r="K25">
        <f t="shared" si="9"/>
        <v>135</v>
      </c>
      <c r="L25">
        <f t="shared" si="6"/>
        <v>13</v>
      </c>
      <c r="M25">
        <f t="shared" si="10"/>
        <v>1352</v>
      </c>
      <c r="O25" s="26">
        <f t="shared" si="11"/>
        <v>138.46153846153848</v>
      </c>
      <c r="P25">
        <f t="shared" si="12"/>
        <v>135</v>
      </c>
      <c r="Q25">
        <f t="shared" si="7"/>
        <v>13</v>
      </c>
      <c r="R25">
        <f t="shared" si="13"/>
        <v>1352</v>
      </c>
    </row>
    <row r="26" spans="1:18" ht="12.75">
      <c r="A26" s="12" t="s">
        <v>195</v>
      </c>
      <c r="B26">
        <v>54</v>
      </c>
      <c r="C26">
        <v>15</v>
      </c>
      <c r="D26">
        <v>1</v>
      </c>
      <c r="E26" s="19">
        <v>0.1875</v>
      </c>
      <c r="F26" s="12" t="s">
        <v>240</v>
      </c>
      <c r="J26" s="26">
        <f t="shared" si="8"/>
        <v>138.46153846153842</v>
      </c>
      <c r="K26">
        <f t="shared" si="9"/>
        <v>122</v>
      </c>
      <c r="L26">
        <f t="shared" si="6"/>
        <v>12</v>
      </c>
      <c r="M26">
        <f t="shared" si="10"/>
        <v>1364</v>
      </c>
      <c r="O26" s="26">
        <f t="shared" si="11"/>
        <v>144.23076923076925</v>
      </c>
      <c r="P26">
        <f t="shared" si="12"/>
        <v>122</v>
      </c>
      <c r="Q26">
        <f t="shared" si="7"/>
        <v>12</v>
      </c>
      <c r="R26">
        <f t="shared" si="13"/>
        <v>1364</v>
      </c>
    </row>
    <row r="27" spans="1:18" ht="12.75">
      <c r="A27" s="12" t="s">
        <v>197</v>
      </c>
      <c r="B27">
        <v>0</v>
      </c>
      <c r="C27">
        <v>50000</v>
      </c>
      <c r="D27">
        <v>120</v>
      </c>
      <c r="E27">
        <v>0</v>
      </c>
      <c r="F27" s="12" t="s">
        <v>187</v>
      </c>
      <c r="G27" s="17">
        <f>D27/C27</f>
        <v>0.0024</v>
      </c>
      <c r="J27" s="26">
        <f t="shared" si="8"/>
        <v>143.99999999999997</v>
      </c>
      <c r="K27">
        <f t="shared" si="9"/>
        <v>110</v>
      </c>
      <c r="L27">
        <f t="shared" si="6"/>
        <v>11</v>
      </c>
      <c r="M27">
        <f t="shared" si="10"/>
        <v>1375</v>
      </c>
      <c r="O27" s="26">
        <f t="shared" si="11"/>
        <v>150.00000000000003</v>
      </c>
      <c r="P27">
        <f t="shared" si="12"/>
        <v>110</v>
      </c>
      <c r="Q27">
        <f t="shared" si="7"/>
        <v>11</v>
      </c>
      <c r="R27">
        <f t="shared" si="13"/>
        <v>1375</v>
      </c>
    </row>
    <row r="28" spans="1:18" ht="12.75">
      <c r="A28" s="12" t="s">
        <v>197</v>
      </c>
      <c r="B28">
        <v>25</v>
      </c>
      <c r="C28">
        <v>300</v>
      </c>
      <c r="D28">
        <v>120</v>
      </c>
      <c r="E28">
        <v>20</v>
      </c>
      <c r="F28" s="12" t="s">
        <v>187</v>
      </c>
      <c r="G28" s="17">
        <f>D28/C28</f>
        <v>0.4</v>
      </c>
      <c r="J28" s="26">
        <f t="shared" si="8"/>
        <v>149.53846153846152</v>
      </c>
      <c r="K28">
        <f t="shared" si="9"/>
        <v>99</v>
      </c>
      <c r="L28">
        <f t="shared" si="6"/>
        <v>9</v>
      </c>
      <c r="M28">
        <f t="shared" si="10"/>
        <v>1384</v>
      </c>
      <c r="O28" s="26">
        <f t="shared" si="11"/>
        <v>155.7692307692308</v>
      </c>
      <c r="P28">
        <f t="shared" si="12"/>
        <v>99</v>
      </c>
      <c r="Q28">
        <f t="shared" si="7"/>
        <v>9</v>
      </c>
      <c r="R28">
        <f t="shared" si="13"/>
        <v>1384</v>
      </c>
    </row>
    <row r="29" spans="1:18" ht="12.75">
      <c r="A29" s="12" t="s">
        <v>197</v>
      </c>
      <c r="B29">
        <v>75</v>
      </c>
      <c r="C29">
        <v>290</v>
      </c>
      <c r="D29">
        <v>120</v>
      </c>
      <c r="E29">
        <v>30</v>
      </c>
      <c r="F29" s="12" t="s">
        <v>187</v>
      </c>
      <c r="G29" s="17">
        <f>D29/C29</f>
        <v>0.41379310344827586</v>
      </c>
      <c r="J29" s="26">
        <f t="shared" si="8"/>
        <v>155.07692307692307</v>
      </c>
      <c r="K29">
        <f t="shared" si="9"/>
        <v>90</v>
      </c>
      <c r="L29">
        <f t="shared" si="6"/>
        <v>9</v>
      </c>
      <c r="M29">
        <f t="shared" si="10"/>
        <v>1393</v>
      </c>
      <c r="O29" s="26">
        <f t="shared" si="11"/>
        <v>161.53846153846158</v>
      </c>
      <c r="P29">
        <f t="shared" si="12"/>
        <v>90</v>
      </c>
      <c r="Q29">
        <f t="shared" si="7"/>
        <v>9</v>
      </c>
      <c r="R29">
        <f t="shared" si="13"/>
        <v>1393</v>
      </c>
    </row>
    <row r="30" spans="1:18" ht="12.75">
      <c r="A30" s="12" t="s">
        <v>198</v>
      </c>
      <c r="B30">
        <v>0</v>
      </c>
      <c r="C30">
        <v>50000</v>
      </c>
      <c r="D30">
        <v>1</v>
      </c>
      <c r="F30" s="12"/>
      <c r="G30" s="17"/>
      <c r="J30" s="26">
        <f t="shared" si="8"/>
        <v>160.6153846153846</v>
      </c>
      <c r="K30">
        <f t="shared" si="9"/>
        <v>81</v>
      </c>
      <c r="L30">
        <f t="shared" si="6"/>
        <v>8</v>
      </c>
      <c r="M30">
        <f t="shared" si="10"/>
        <v>1401</v>
      </c>
      <c r="O30" s="26">
        <f t="shared" si="11"/>
        <v>167.30769230769235</v>
      </c>
      <c r="P30">
        <f t="shared" si="12"/>
        <v>81</v>
      </c>
      <c r="Q30">
        <f t="shared" si="7"/>
        <v>8</v>
      </c>
      <c r="R30">
        <f t="shared" si="13"/>
        <v>1401</v>
      </c>
    </row>
    <row r="31" spans="1:18" ht="12.75">
      <c r="A31" s="12" t="s">
        <v>198</v>
      </c>
      <c r="B31">
        <v>41</v>
      </c>
      <c r="C31">
        <v>300</v>
      </c>
      <c r="D31">
        <v>1</v>
      </c>
      <c r="E31" s="20" t="s">
        <v>199</v>
      </c>
      <c r="J31" s="26">
        <f t="shared" si="8"/>
        <v>166.15384615384616</v>
      </c>
      <c r="K31">
        <f t="shared" si="9"/>
        <v>73</v>
      </c>
      <c r="L31">
        <f t="shared" si="6"/>
        <v>7</v>
      </c>
      <c r="M31">
        <f t="shared" si="10"/>
        <v>1408</v>
      </c>
      <c r="O31" s="26">
        <f t="shared" si="11"/>
        <v>173.07692307692312</v>
      </c>
      <c r="P31">
        <f t="shared" si="12"/>
        <v>73</v>
      </c>
      <c r="Q31">
        <f t="shared" si="7"/>
        <v>7</v>
      </c>
      <c r="R31">
        <f t="shared" si="13"/>
        <v>1408</v>
      </c>
    </row>
    <row r="32" spans="1:18" ht="12.75">
      <c r="A32" s="12" t="s">
        <v>198</v>
      </c>
      <c r="B32">
        <v>75</v>
      </c>
      <c r="C32">
        <v>300</v>
      </c>
      <c r="D32">
        <v>1</v>
      </c>
      <c r="E32" s="20"/>
      <c r="J32" s="26">
        <f t="shared" si="8"/>
        <v>171.6923076923077</v>
      </c>
      <c r="K32">
        <f t="shared" si="9"/>
        <v>66</v>
      </c>
      <c r="L32">
        <f t="shared" si="6"/>
        <v>6</v>
      </c>
      <c r="M32">
        <f t="shared" si="10"/>
        <v>1414</v>
      </c>
      <c r="O32" s="26">
        <f t="shared" si="11"/>
        <v>178.8461538461539</v>
      </c>
      <c r="P32">
        <f t="shared" si="12"/>
        <v>66</v>
      </c>
      <c r="Q32">
        <f t="shared" si="7"/>
        <v>6</v>
      </c>
      <c r="R32">
        <f t="shared" si="13"/>
        <v>1414</v>
      </c>
    </row>
    <row r="33" spans="10:18" ht="12.75">
      <c r="J33" s="26">
        <f t="shared" si="8"/>
        <v>177.23076923076925</v>
      </c>
      <c r="K33">
        <f t="shared" si="9"/>
        <v>60</v>
      </c>
      <c r="L33">
        <f t="shared" si="6"/>
        <v>6</v>
      </c>
      <c r="M33">
        <f t="shared" si="10"/>
        <v>1420</v>
      </c>
      <c r="O33" s="26">
        <f t="shared" si="11"/>
        <v>184.61538461538467</v>
      </c>
      <c r="P33">
        <f t="shared" si="12"/>
        <v>60</v>
      </c>
      <c r="Q33">
        <f t="shared" si="7"/>
        <v>6</v>
      </c>
      <c r="R33">
        <f t="shared" si="13"/>
        <v>1420</v>
      </c>
    </row>
    <row r="34" spans="1:18" ht="12.75">
      <c r="A34" s="12" t="s">
        <v>111</v>
      </c>
      <c r="J34" s="26">
        <f t="shared" si="8"/>
        <v>182.7692307692308</v>
      </c>
      <c r="K34">
        <f t="shared" si="9"/>
        <v>54</v>
      </c>
      <c r="L34">
        <f t="shared" si="6"/>
        <v>5</v>
      </c>
      <c r="M34">
        <f t="shared" si="10"/>
        <v>1425</v>
      </c>
      <c r="O34" s="26">
        <f t="shared" si="11"/>
        <v>190.38461538461544</v>
      </c>
      <c r="P34">
        <f t="shared" si="12"/>
        <v>54</v>
      </c>
      <c r="Q34">
        <f t="shared" si="7"/>
        <v>5</v>
      </c>
      <c r="R34">
        <f t="shared" si="13"/>
        <v>1425</v>
      </c>
    </row>
    <row r="35" spans="1:18" ht="12.75">
      <c r="A35" s="12" t="s">
        <v>204</v>
      </c>
      <c r="B35">
        <v>0</v>
      </c>
      <c r="C35">
        <v>50000</v>
      </c>
      <c r="D35">
        <v>1</v>
      </c>
      <c r="E35" s="12" t="s">
        <v>184</v>
      </c>
      <c r="J35" s="26">
        <f t="shared" si="8"/>
        <v>188.30769230769235</v>
      </c>
      <c r="K35">
        <f t="shared" si="9"/>
        <v>49</v>
      </c>
      <c r="L35">
        <f t="shared" si="6"/>
        <v>4</v>
      </c>
      <c r="M35">
        <f t="shared" si="10"/>
        <v>1429</v>
      </c>
      <c r="O35" s="26">
        <f t="shared" si="11"/>
        <v>196.15384615384622</v>
      </c>
      <c r="P35">
        <f t="shared" si="12"/>
        <v>49</v>
      </c>
      <c r="Q35">
        <f t="shared" si="7"/>
        <v>4</v>
      </c>
      <c r="R35">
        <f t="shared" si="13"/>
        <v>1429</v>
      </c>
    </row>
    <row r="36" spans="1:5" ht="12.75">
      <c r="A36" s="12" t="s">
        <v>204</v>
      </c>
      <c r="B36">
        <v>15</v>
      </c>
      <c r="C36">
        <v>300</v>
      </c>
      <c r="D36">
        <v>1</v>
      </c>
      <c r="E36" s="12" t="s">
        <v>184</v>
      </c>
    </row>
    <row r="37" spans="1:5" ht="12.75">
      <c r="A37" s="12" t="s">
        <v>204</v>
      </c>
      <c r="B37">
        <v>75</v>
      </c>
      <c r="C37">
        <v>300</v>
      </c>
      <c r="D37">
        <v>1</v>
      </c>
      <c r="E37" s="12" t="s">
        <v>184</v>
      </c>
    </row>
    <row r="39" ht="12.75">
      <c r="A39" s="12" t="s">
        <v>118</v>
      </c>
    </row>
    <row r="40" spans="1:8" ht="12.75">
      <c r="A40" s="12" t="s">
        <v>211</v>
      </c>
      <c r="B40">
        <v>0</v>
      </c>
      <c r="C40">
        <v>60</v>
      </c>
      <c r="D40">
        <v>60</v>
      </c>
      <c r="E40">
        <v>0</v>
      </c>
      <c r="F40" s="15">
        <v>0</v>
      </c>
      <c r="G40" s="12">
        <v>0</v>
      </c>
      <c r="H40" s="12" t="s">
        <v>212</v>
      </c>
    </row>
    <row r="41" spans="1:8" ht="12.75">
      <c r="A41" s="12" t="s">
        <v>211</v>
      </c>
      <c r="B41">
        <v>25</v>
      </c>
      <c r="C41">
        <v>60</v>
      </c>
      <c r="D41">
        <v>60</v>
      </c>
      <c r="E41">
        <v>10</v>
      </c>
      <c r="F41" s="15">
        <v>0.1</v>
      </c>
      <c r="G41" s="12">
        <v>3</v>
      </c>
      <c r="H41" s="12" t="s">
        <v>212</v>
      </c>
    </row>
    <row r="42" spans="1:8" ht="12.75">
      <c r="A42" s="12" t="s">
        <v>211</v>
      </c>
      <c r="B42">
        <v>28</v>
      </c>
      <c r="C42">
        <v>60</v>
      </c>
      <c r="D42">
        <v>60</v>
      </c>
      <c r="E42">
        <v>10</v>
      </c>
      <c r="F42" s="15">
        <v>0.1</v>
      </c>
      <c r="G42" s="12">
        <v>4</v>
      </c>
      <c r="H42" s="12" t="s">
        <v>212</v>
      </c>
    </row>
    <row r="43" spans="1:8" ht="12.75">
      <c r="A43" s="12" t="s">
        <v>211</v>
      </c>
      <c r="B43">
        <v>35</v>
      </c>
      <c r="C43">
        <v>60</v>
      </c>
      <c r="D43">
        <v>60</v>
      </c>
      <c r="E43">
        <v>10</v>
      </c>
      <c r="F43" s="15">
        <v>0.1</v>
      </c>
      <c r="G43" s="12">
        <v>5</v>
      </c>
      <c r="H43" s="12" t="s">
        <v>212</v>
      </c>
    </row>
    <row r="44" spans="1:8" ht="12.75">
      <c r="A44" s="12" t="s">
        <v>211</v>
      </c>
      <c r="B44">
        <v>42</v>
      </c>
      <c r="C44">
        <v>60</v>
      </c>
      <c r="D44">
        <v>60</v>
      </c>
      <c r="E44">
        <v>10</v>
      </c>
      <c r="F44" s="15">
        <v>0.1</v>
      </c>
      <c r="G44" s="12">
        <v>6</v>
      </c>
      <c r="H44" s="12" t="s">
        <v>212</v>
      </c>
    </row>
    <row r="45" spans="1:8" ht="12.75">
      <c r="A45" s="12" t="s">
        <v>211</v>
      </c>
      <c r="B45">
        <v>49</v>
      </c>
      <c r="C45">
        <v>60</v>
      </c>
      <c r="D45">
        <v>60</v>
      </c>
      <c r="E45">
        <v>10</v>
      </c>
      <c r="F45" s="15">
        <v>0.1</v>
      </c>
      <c r="G45" s="12">
        <v>7</v>
      </c>
      <c r="H45" s="12" t="s">
        <v>212</v>
      </c>
    </row>
    <row r="46" spans="1:8" ht="12.75">
      <c r="A46" s="12" t="s">
        <v>211</v>
      </c>
      <c r="B46">
        <v>56</v>
      </c>
      <c r="C46">
        <v>60</v>
      </c>
      <c r="D46">
        <v>60</v>
      </c>
      <c r="E46">
        <v>10</v>
      </c>
      <c r="F46" s="15">
        <v>0.1</v>
      </c>
      <c r="G46" s="12">
        <v>8</v>
      </c>
      <c r="H46" s="12" t="s">
        <v>212</v>
      </c>
    </row>
    <row r="47" spans="1:8" ht="12.75">
      <c r="A47" s="12" t="s">
        <v>211</v>
      </c>
      <c r="B47">
        <v>63</v>
      </c>
      <c r="C47">
        <v>60</v>
      </c>
      <c r="D47">
        <v>60</v>
      </c>
      <c r="E47">
        <v>10</v>
      </c>
      <c r="F47" s="15">
        <v>0.1</v>
      </c>
      <c r="G47" s="12">
        <v>9</v>
      </c>
      <c r="H47" s="12" t="s">
        <v>212</v>
      </c>
    </row>
    <row r="48" spans="1:8" ht="12.75">
      <c r="A48" s="12" t="s">
        <v>211</v>
      </c>
      <c r="B48">
        <v>70</v>
      </c>
      <c r="C48">
        <v>60</v>
      </c>
      <c r="D48">
        <v>60</v>
      </c>
      <c r="E48">
        <v>10</v>
      </c>
      <c r="F48" s="15">
        <v>0.1</v>
      </c>
      <c r="G48" s="12">
        <v>10</v>
      </c>
      <c r="H48" s="12" t="s">
        <v>212</v>
      </c>
    </row>
    <row r="49" spans="1:6" ht="12.75">
      <c r="A49" s="12" t="s">
        <v>213</v>
      </c>
      <c r="B49">
        <v>30</v>
      </c>
      <c r="C49">
        <v>180</v>
      </c>
      <c r="D49">
        <v>1</v>
      </c>
      <c r="E49" s="15">
        <v>0.6</v>
      </c>
      <c r="F49" s="12" t="s">
        <v>239</v>
      </c>
    </row>
    <row r="50" spans="1:6" ht="12.75">
      <c r="A50" s="12" t="s">
        <v>213</v>
      </c>
      <c r="B50">
        <v>30</v>
      </c>
      <c r="C50">
        <v>180</v>
      </c>
      <c r="D50">
        <v>1</v>
      </c>
      <c r="E50" s="15">
        <v>1</v>
      </c>
      <c r="F50" s="12" t="s">
        <v>214</v>
      </c>
    </row>
    <row r="52" ht="12.75">
      <c r="A52" s="12" t="s">
        <v>107</v>
      </c>
    </row>
    <row r="53" spans="1:4" ht="12.75">
      <c r="A53" s="12" t="s">
        <v>218</v>
      </c>
      <c r="B53">
        <v>0</v>
      </c>
      <c r="C53">
        <v>50000</v>
      </c>
      <c r="D53">
        <v>1</v>
      </c>
    </row>
    <row r="54" spans="1:4" ht="12.75">
      <c r="A54" s="12" t="s">
        <v>218</v>
      </c>
      <c r="B54">
        <v>15</v>
      </c>
      <c r="C54">
        <v>60</v>
      </c>
      <c r="D54">
        <v>1</v>
      </c>
    </row>
    <row r="55" spans="1:4" ht="12.75">
      <c r="A55" s="12" t="s">
        <v>218</v>
      </c>
      <c r="B55">
        <v>75</v>
      </c>
      <c r="C55">
        <v>60</v>
      </c>
      <c r="D55">
        <v>1</v>
      </c>
    </row>
    <row r="56" spans="1:4" ht="12.75">
      <c r="A56" s="12" t="s">
        <v>219</v>
      </c>
      <c r="B56">
        <v>0</v>
      </c>
      <c r="C56">
        <v>50000</v>
      </c>
      <c r="D56">
        <v>1</v>
      </c>
    </row>
    <row r="57" spans="1:4" ht="12.75">
      <c r="A57" s="12" t="s">
        <v>219</v>
      </c>
      <c r="B57">
        <v>30</v>
      </c>
      <c r="C57">
        <v>60</v>
      </c>
      <c r="D57">
        <v>1</v>
      </c>
    </row>
    <row r="58" spans="1:4" ht="12.75">
      <c r="A58" s="12" t="s">
        <v>219</v>
      </c>
      <c r="B58">
        <v>75</v>
      </c>
      <c r="C58">
        <v>60</v>
      </c>
      <c r="D58">
        <v>1</v>
      </c>
    </row>
    <row r="60" spans="1:7" ht="12.75">
      <c r="A60" s="12" t="s">
        <v>105</v>
      </c>
      <c r="G60" s="12" t="s">
        <v>312</v>
      </c>
    </row>
    <row r="61" spans="1:7" ht="12.75">
      <c r="A61" s="12" t="s">
        <v>4</v>
      </c>
      <c r="B61">
        <v>0</v>
      </c>
      <c r="C61">
        <v>50000</v>
      </c>
      <c r="D61">
        <v>180</v>
      </c>
      <c r="E61" s="17">
        <v>0</v>
      </c>
      <c r="F61" s="12" t="s">
        <v>220</v>
      </c>
      <c r="G61" s="17">
        <f>D61/C61</f>
        <v>0.0036</v>
      </c>
    </row>
    <row r="62" spans="1:7" ht="12.75">
      <c r="A62" s="12" t="s">
        <v>4</v>
      </c>
      <c r="B62">
        <v>15</v>
      </c>
      <c r="C62">
        <v>300</v>
      </c>
      <c r="D62">
        <v>180</v>
      </c>
      <c r="E62" s="17">
        <v>0.25</v>
      </c>
      <c r="F62" s="12" t="s">
        <v>220</v>
      </c>
      <c r="G62" s="17">
        <f>D62/C62</f>
        <v>0.6</v>
      </c>
    </row>
    <row r="63" spans="1:7" ht="12.75">
      <c r="A63" s="12" t="s">
        <v>4</v>
      </c>
      <c r="B63">
        <v>75</v>
      </c>
      <c r="C63">
        <v>290</v>
      </c>
      <c r="D63">
        <v>180</v>
      </c>
      <c r="E63" s="17">
        <v>0.25</v>
      </c>
      <c r="F63" s="12" t="s">
        <v>220</v>
      </c>
      <c r="G63" s="17">
        <f>D63/C63</f>
        <v>0.6206896551724138</v>
      </c>
    </row>
    <row r="64" spans="1:7" ht="12.75">
      <c r="A64" s="12" t="s">
        <v>99</v>
      </c>
      <c r="B64">
        <v>0</v>
      </c>
      <c r="C64">
        <v>50000</v>
      </c>
      <c r="D64">
        <v>30</v>
      </c>
      <c r="E64" s="17">
        <v>0</v>
      </c>
      <c r="F64" s="12" t="s">
        <v>220</v>
      </c>
      <c r="G64" s="17">
        <f aca="true" t="shared" si="14" ref="G64:G79">D64/C64</f>
        <v>0.0006</v>
      </c>
    </row>
    <row r="65" spans="1:7" ht="12.75">
      <c r="A65" s="12" t="s">
        <v>99</v>
      </c>
      <c r="B65">
        <v>35</v>
      </c>
      <c r="C65">
        <v>300</v>
      </c>
      <c r="D65">
        <v>30</v>
      </c>
      <c r="E65" s="17">
        <f>13/256</f>
        <v>0.05078125</v>
      </c>
      <c r="F65" s="12" t="s">
        <v>220</v>
      </c>
      <c r="G65" s="17">
        <f t="shared" si="14"/>
        <v>0.1</v>
      </c>
    </row>
    <row r="66" spans="1:7" ht="12.75">
      <c r="A66" s="12" t="s">
        <v>99</v>
      </c>
      <c r="B66">
        <v>37</v>
      </c>
      <c r="C66">
        <v>300</v>
      </c>
      <c r="D66">
        <v>30</v>
      </c>
      <c r="E66" s="17">
        <f>14/256</f>
        <v>0.0546875</v>
      </c>
      <c r="F66" s="12" t="s">
        <v>220</v>
      </c>
      <c r="G66" s="17">
        <f t="shared" si="14"/>
        <v>0.1</v>
      </c>
    </row>
    <row r="67" spans="1:7" ht="12.75">
      <c r="A67" s="12" t="s">
        <v>99</v>
      </c>
      <c r="B67">
        <v>41</v>
      </c>
      <c r="C67">
        <v>300</v>
      </c>
      <c r="D67">
        <v>30</v>
      </c>
      <c r="E67" s="17">
        <f>15/256</f>
        <v>0.05859375</v>
      </c>
      <c r="F67" s="12" t="s">
        <v>220</v>
      </c>
      <c r="G67" s="17">
        <f t="shared" si="14"/>
        <v>0.1</v>
      </c>
    </row>
    <row r="68" spans="1:7" ht="12.75">
      <c r="A68" s="12" t="s">
        <v>99</v>
      </c>
      <c r="B68">
        <v>45</v>
      </c>
      <c r="C68">
        <v>300</v>
      </c>
      <c r="D68">
        <v>30</v>
      </c>
      <c r="E68" s="17">
        <f>16/256</f>
        <v>0.0625</v>
      </c>
      <c r="F68" s="12" t="s">
        <v>220</v>
      </c>
      <c r="G68" s="17">
        <f t="shared" si="14"/>
        <v>0.1</v>
      </c>
    </row>
    <row r="69" spans="1:7" ht="12.75">
      <c r="A69" s="12" t="s">
        <v>99</v>
      </c>
      <c r="B69">
        <v>49</v>
      </c>
      <c r="C69">
        <v>300</v>
      </c>
      <c r="D69">
        <v>30</v>
      </c>
      <c r="E69" s="17">
        <f>17/256</f>
        <v>0.06640625</v>
      </c>
      <c r="F69" s="12" t="s">
        <v>220</v>
      </c>
      <c r="G69" s="17">
        <f t="shared" si="14"/>
        <v>0.1</v>
      </c>
    </row>
    <row r="70" spans="1:7" ht="12.75">
      <c r="A70" s="12" t="s">
        <v>99</v>
      </c>
      <c r="B70">
        <v>53</v>
      </c>
      <c r="C70">
        <v>300</v>
      </c>
      <c r="D70">
        <v>30</v>
      </c>
      <c r="E70" s="17">
        <f>18/256</f>
        <v>0.0703125</v>
      </c>
      <c r="F70" s="12" t="s">
        <v>220</v>
      </c>
      <c r="G70" s="17">
        <f t="shared" si="14"/>
        <v>0.1</v>
      </c>
    </row>
    <row r="71" spans="1:7" ht="12.75">
      <c r="A71" s="12" t="s">
        <v>99</v>
      </c>
      <c r="B71">
        <v>57</v>
      </c>
      <c r="C71">
        <v>300</v>
      </c>
      <c r="D71">
        <v>30</v>
      </c>
      <c r="E71" s="17">
        <f>19/256</f>
        <v>0.07421875</v>
      </c>
      <c r="F71" s="12" t="s">
        <v>220</v>
      </c>
      <c r="G71" s="17">
        <f t="shared" si="14"/>
        <v>0.1</v>
      </c>
    </row>
    <row r="72" spans="1:7" ht="12.75">
      <c r="A72" s="12" t="s">
        <v>99</v>
      </c>
      <c r="B72">
        <v>61</v>
      </c>
      <c r="C72">
        <v>300</v>
      </c>
      <c r="D72">
        <v>30</v>
      </c>
      <c r="E72" s="17">
        <f>20/256</f>
        <v>0.078125</v>
      </c>
      <c r="F72" s="12" t="s">
        <v>220</v>
      </c>
      <c r="G72" s="17">
        <f t="shared" si="14"/>
        <v>0.1</v>
      </c>
    </row>
    <row r="73" spans="1:7" ht="12.75">
      <c r="A73" s="12" t="s">
        <v>99</v>
      </c>
      <c r="B73">
        <v>68</v>
      </c>
      <c r="C73">
        <v>300</v>
      </c>
      <c r="D73">
        <v>30</v>
      </c>
      <c r="E73" s="17">
        <f>21/256</f>
        <v>0.08203125</v>
      </c>
      <c r="F73" s="12" t="s">
        <v>220</v>
      </c>
      <c r="G73" s="17">
        <f t="shared" si="14"/>
        <v>0.1</v>
      </c>
    </row>
    <row r="74" spans="1:7" ht="12.75">
      <c r="A74" s="12" t="s">
        <v>99</v>
      </c>
      <c r="B74">
        <v>70</v>
      </c>
      <c r="C74">
        <v>300</v>
      </c>
      <c r="D74">
        <v>30</v>
      </c>
      <c r="E74" s="17">
        <f>22/256</f>
        <v>0.0859375</v>
      </c>
      <c r="F74" s="12" t="s">
        <v>220</v>
      </c>
      <c r="G74" s="17">
        <f t="shared" si="14"/>
        <v>0.1</v>
      </c>
    </row>
    <row r="75" spans="1:7" ht="12.75">
      <c r="A75" s="12" t="s">
        <v>99</v>
      </c>
      <c r="B75">
        <v>73</v>
      </c>
      <c r="C75">
        <v>300</v>
      </c>
      <c r="D75">
        <v>30</v>
      </c>
      <c r="E75" s="17">
        <f>23/256</f>
        <v>0.08984375</v>
      </c>
      <c r="F75" s="12" t="s">
        <v>220</v>
      </c>
      <c r="G75" s="17">
        <f t="shared" si="14"/>
        <v>0.1</v>
      </c>
    </row>
    <row r="76" spans="1:7" ht="12.75">
      <c r="A76" s="12" t="s">
        <v>99</v>
      </c>
      <c r="B76">
        <v>75</v>
      </c>
      <c r="C76">
        <v>290</v>
      </c>
      <c r="D76">
        <v>30</v>
      </c>
      <c r="E76" s="17">
        <f>23/256</f>
        <v>0.08984375</v>
      </c>
      <c r="F76" s="12" t="s">
        <v>220</v>
      </c>
      <c r="G76" s="17">
        <f t="shared" si="14"/>
        <v>0.10344827586206896</v>
      </c>
    </row>
    <row r="77" spans="1:7" ht="12.75">
      <c r="A77" s="12" t="s">
        <v>221</v>
      </c>
      <c r="B77">
        <v>0</v>
      </c>
      <c r="C77">
        <v>50000</v>
      </c>
      <c r="D77">
        <v>180</v>
      </c>
      <c r="E77">
        <v>0</v>
      </c>
      <c r="F77" s="12" t="s">
        <v>158</v>
      </c>
      <c r="G77" s="17">
        <f t="shared" si="14"/>
        <v>0.0036</v>
      </c>
    </row>
    <row r="78" spans="1:7" ht="12.75">
      <c r="A78" s="12" t="s">
        <v>221</v>
      </c>
      <c r="B78">
        <v>45</v>
      </c>
      <c r="C78">
        <v>300</v>
      </c>
      <c r="D78">
        <v>180</v>
      </c>
      <c r="E78">
        <v>25</v>
      </c>
      <c r="F78" s="12" t="s">
        <v>158</v>
      </c>
      <c r="G78" s="17">
        <f t="shared" si="14"/>
        <v>0.6</v>
      </c>
    </row>
    <row r="79" spans="1:7" ht="12.75">
      <c r="A79" s="12" t="s">
        <v>221</v>
      </c>
      <c r="B79">
        <v>75</v>
      </c>
      <c r="C79">
        <v>290</v>
      </c>
      <c r="D79">
        <v>180</v>
      </c>
      <c r="E79">
        <v>25</v>
      </c>
      <c r="F79" s="12" t="s">
        <v>158</v>
      </c>
      <c r="G79" s="17">
        <f t="shared" si="14"/>
        <v>0.6206896551724138</v>
      </c>
    </row>
  </sheetData>
  <hyperlinks>
    <hyperlink ref="E5" r:id="rId1" tooltip="Base Damage" display="http://wiki.ffxiclopedia.org/wiki/Base_Damage"/>
    <hyperlink ref="E3" r:id="rId2" tooltip="Base Damage" display="http://wiki.ffxiclopedia.org/wiki/Base_Damage"/>
    <hyperlink ref="E4" r:id="rId3" tooltip="Base Damage" display="http://wiki.ffxiclopedia.org/wiki/Base_Dam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C17" sqref="C17"/>
    </sheetView>
  </sheetViews>
  <sheetFormatPr defaultColWidth="9.140625" defaultRowHeight="12.75"/>
  <cols>
    <col min="1" max="1" width="5.140625" style="0" bestFit="1" customWidth="1"/>
    <col min="2" max="2" width="15.140625" style="0" bestFit="1" customWidth="1"/>
    <col min="3" max="3" width="5.7109375" style="0" bestFit="1" customWidth="1"/>
    <col min="4" max="4" width="5.421875" style="0" bestFit="1" customWidth="1"/>
    <col min="5" max="5" width="24.28125" style="0" bestFit="1" customWidth="1"/>
  </cols>
  <sheetData>
    <row r="1" spans="1:4" ht="12.75">
      <c r="A1" s="12" t="s">
        <v>5</v>
      </c>
      <c r="B1" s="12" t="s">
        <v>176</v>
      </c>
      <c r="C1" s="12" t="s">
        <v>177</v>
      </c>
      <c r="D1" s="12" t="s">
        <v>223</v>
      </c>
    </row>
    <row r="2" spans="1:4" ht="12.75">
      <c r="A2" s="12">
        <v>63</v>
      </c>
      <c r="B2" s="12" t="s">
        <v>178</v>
      </c>
      <c r="C2" s="12">
        <v>10</v>
      </c>
      <c r="D2" s="12" t="s">
        <v>123</v>
      </c>
    </row>
    <row r="3" spans="1:4" ht="12.75">
      <c r="A3" s="12">
        <v>38</v>
      </c>
      <c r="B3" s="12" t="s">
        <v>179</v>
      </c>
      <c r="C3" s="12">
        <v>10</v>
      </c>
      <c r="D3" s="12" t="s">
        <v>123</v>
      </c>
    </row>
    <row r="4" spans="1:4" ht="12.75">
      <c r="A4" s="12">
        <v>70</v>
      </c>
      <c r="B4" s="12" t="s">
        <v>57</v>
      </c>
      <c r="C4" s="18">
        <v>0.1</v>
      </c>
      <c r="D4" s="12" t="s">
        <v>123</v>
      </c>
    </row>
    <row r="5" spans="1:4" ht="12.75">
      <c r="A5">
        <v>30</v>
      </c>
      <c r="B5" s="12" t="s">
        <v>178</v>
      </c>
      <c r="C5">
        <v>10</v>
      </c>
      <c r="D5" s="12" t="s">
        <v>121</v>
      </c>
    </row>
    <row r="6" spans="1:4" ht="12.75">
      <c r="A6">
        <v>60</v>
      </c>
      <c r="B6" s="12" t="s">
        <v>178</v>
      </c>
      <c r="C6">
        <v>22</v>
      </c>
      <c r="D6" s="12" t="s">
        <v>121</v>
      </c>
    </row>
    <row r="7" spans="1:4" ht="12.75">
      <c r="A7">
        <v>0</v>
      </c>
      <c r="B7" s="12" t="s">
        <v>178</v>
      </c>
      <c r="C7">
        <v>0</v>
      </c>
      <c r="D7" s="12" t="s">
        <v>115</v>
      </c>
    </row>
    <row r="8" spans="1:4" ht="12.75">
      <c r="A8">
        <v>30</v>
      </c>
      <c r="B8" s="12" t="s">
        <v>178</v>
      </c>
      <c r="C8">
        <v>10</v>
      </c>
      <c r="D8" s="12" t="s">
        <v>115</v>
      </c>
    </row>
    <row r="9" spans="1:4" ht="12.75">
      <c r="A9">
        <v>50</v>
      </c>
      <c r="B9" s="12" t="s">
        <v>178</v>
      </c>
      <c r="C9">
        <v>22</v>
      </c>
      <c r="D9" s="12" t="s">
        <v>115</v>
      </c>
    </row>
    <row r="10" spans="1:4" ht="12.75">
      <c r="A10">
        <v>10</v>
      </c>
      <c r="B10" s="12" t="s">
        <v>179</v>
      </c>
      <c r="C10">
        <v>10</v>
      </c>
      <c r="D10" s="12" t="s">
        <v>115</v>
      </c>
    </row>
    <row r="11" spans="1:4" ht="12.75">
      <c r="A11">
        <v>10</v>
      </c>
      <c r="B11" s="12" t="s">
        <v>179</v>
      </c>
      <c r="C11">
        <v>10</v>
      </c>
      <c r="D11" s="12" t="s">
        <v>112</v>
      </c>
    </row>
    <row r="12" spans="1:4" ht="12.75">
      <c r="A12">
        <v>30</v>
      </c>
      <c r="B12" s="12" t="s">
        <v>179</v>
      </c>
      <c r="C12">
        <v>22</v>
      </c>
      <c r="D12" s="12" t="s">
        <v>112</v>
      </c>
    </row>
    <row r="13" spans="1:4" ht="12.75">
      <c r="A13">
        <v>50</v>
      </c>
      <c r="B13" s="12" t="s">
        <v>179</v>
      </c>
      <c r="C13">
        <v>35</v>
      </c>
      <c r="D13" s="12" t="s">
        <v>112</v>
      </c>
    </row>
    <row r="14" spans="1:4" ht="12.75">
      <c r="A14">
        <v>70</v>
      </c>
      <c r="B14" s="12" t="s">
        <v>179</v>
      </c>
      <c r="C14">
        <v>48</v>
      </c>
      <c r="D14" s="12" t="s">
        <v>112</v>
      </c>
    </row>
    <row r="15" spans="1:4" ht="12.75">
      <c r="A15">
        <v>1</v>
      </c>
      <c r="B15" s="12" t="s">
        <v>180</v>
      </c>
      <c r="C15">
        <v>0</v>
      </c>
      <c r="D15" s="12" t="s">
        <v>112</v>
      </c>
    </row>
    <row r="16" spans="1:5" ht="12.75">
      <c r="A16">
        <v>75</v>
      </c>
      <c r="B16" s="12" t="s">
        <v>180</v>
      </c>
      <c r="C16" s="15">
        <v>0.25</v>
      </c>
      <c r="D16" s="12" t="s">
        <v>112</v>
      </c>
      <c r="E16" s="12" t="s">
        <v>343</v>
      </c>
    </row>
    <row r="17" spans="1:4" ht="12.75">
      <c r="A17">
        <v>1</v>
      </c>
      <c r="B17" s="12" t="s">
        <v>189</v>
      </c>
      <c r="C17">
        <v>400</v>
      </c>
      <c r="D17" s="12" t="s">
        <v>106</v>
      </c>
    </row>
    <row r="18" spans="1:4" ht="12.75">
      <c r="A18">
        <v>16</v>
      </c>
      <c r="B18" s="12" t="s">
        <v>190</v>
      </c>
      <c r="C18">
        <v>380</v>
      </c>
      <c r="D18" s="12" t="s">
        <v>106</v>
      </c>
    </row>
    <row r="19" spans="1:4" ht="12.75">
      <c r="A19">
        <v>31</v>
      </c>
      <c r="B19" s="12" t="s">
        <v>191</v>
      </c>
      <c r="C19">
        <v>360</v>
      </c>
      <c r="D19" s="12" t="s">
        <v>106</v>
      </c>
    </row>
    <row r="20" spans="1:4" ht="12.75">
      <c r="A20">
        <v>46</v>
      </c>
      <c r="B20" s="12" t="s">
        <v>192</v>
      </c>
      <c r="C20">
        <v>340</v>
      </c>
      <c r="D20" s="12" t="s">
        <v>106</v>
      </c>
    </row>
    <row r="21" spans="1:4" ht="12.75">
      <c r="A21">
        <v>61</v>
      </c>
      <c r="B21" s="12" t="s">
        <v>193</v>
      </c>
      <c r="C21">
        <v>320</v>
      </c>
      <c r="D21" s="12" t="s">
        <v>106</v>
      </c>
    </row>
    <row r="22" spans="1:4" ht="12.75">
      <c r="A22">
        <v>75</v>
      </c>
      <c r="B22" s="12" t="s">
        <v>194</v>
      </c>
      <c r="C22">
        <v>300</v>
      </c>
      <c r="D22" s="12" t="s">
        <v>106</v>
      </c>
    </row>
    <row r="23" spans="1:4" ht="12.75">
      <c r="A23">
        <v>10</v>
      </c>
      <c r="B23" s="12" t="s">
        <v>200</v>
      </c>
      <c r="C23" s="15">
        <v>0.1</v>
      </c>
      <c r="D23" s="12" t="s">
        <v>119</v>
      </c>
    </row>
    <row r="24" spans="1:4" ht="12.75">
      <c r="A24">
        <v>25</v>
      </c>
      <c r="B24" s="12" t="s">
        <v>201</v>
      </c>
      <c r="C24" s="15">
        <v>0.15</v>
      </c>
      <c r="D24" s="12" t="s">
        <v>119</v>
      </c>
    </row>
    <row r="25" spans="1:4" ht="12.75">
      <c r="A25">
        <v>45</v>
      </c>
      <c r="B25" s="12" t="s">
        <v>202</v>
      </c>
      <c r="C25" s="15">
        <v>0.25</v>
      </c>
      <c r="D25" s="12" t="s">
        <v>119</v>
      </c>
    </row>
    <row r="26" spans="1:4" ht="12.75">
      <c r="A26">
        <v>65</v>
      </c>
      <c r="B26" s="12" t="s">
        <v>203</v>
      </c>
      <c r="C26" s="15">
        <v>0.3</v>
      </c>
      <c r="D26" s="12" t="s">
        <v>119</v>
      </c>
    </row>
    <row r="27" spans="1:4" ht="12.75">
      <c r="A27">
        <v>25</v>
      </c>
      <c r="B27" s="12" t="s">
        <v>189</v>
      </c>
      <c r="C27">
        <v>400</v>
      </c>
      <c r="D27" s="12" t="s">
        <v>116</v>
      </c>
    </row>
    <row r="28" spans="1:4" ht="12.75">
      <c r="A28">
        <v>50</v>
      </c>
      <c r="B28" s="12" t="s">
        <v>190</v>
      </c>
      <c r="C28">
        <v>380</v>
      </c>
      <c r="D28" s="12" t="s">
        <v>116</v>
      </c>
    </row>
    <row r="29" spans="1:4" ht="12.75">
      <c r="A29">
        <v>75</v>
      </c>
      <c r="B29" s="12" t="s">
        <v>191</v>
      </c>
      <c r="C29">
        <v>360</v>
      </c>
      <c r="D29" s="12" t="s">
        <v>116</v>
      </c>
    </row>
    <row r="30" spans="1:4" ht="12.75">
      <c r="A30">
        <v>10</v>
      </c>
      <c r="B30" s="12" t="s">
        <v>178</v>
      </c>
      <c r="C30">
        <v>10</v>
      </c>
      <c r="D30" s="12" t="s">
        <v>117</v>
      </c>
    </row>
    <row r="31" spans="1:4" ht="12.75">
      <c r="A31">
        <v>30</v>
      </c>
      <c r="B31" s="12" t="s">
        <v>178</v>
      </c>
      <c r="C31">
        <v>22</v>
      </c>
      <c r="D31" s="12" t="s">
        <v>117</v>
      </c>
    </row>
    <row r="32" spans="1:4" ht="12.75">
      <c r="A32">
        <v>50</v>
      </c>
      <c r="B32" s="12" t="s">
        <v>178</v>
      </c>
      <c r="C32">
        <v>35</v>
      </c>
      <c r="D32" s="12" t="s">
        <v>117</v>
      </c>
    </row>
    <row r="33" spans="1:4" ht="12.75">
      <c r="A33">
        <v>70</v>
      </c>
      <c r="B33" s="12" t="s">
        <v>178</v>
      </c>
      <c r="C33">
        <v>48</v>
      </c>
      <c r="D33" s="12" t="s">
        <v>117</v>
      </c>
    </row>
    <row r="34" spans="1:4" ht="12.75">
      <c r="A34">
        <v>1</v>
      </c>
      <c r="B34" s="12" t="s">
        <v>215</v>
      </c>
      <c r="C34">
        <v>0</v>
      </c>
      <c r="D34" s="12" t="s">
        <v>118</v>
      </c>
    </row>
    <row r="35" spans="1:5" ht="12.75">
      <c r="A35">
        <v>75</v>
      </c>
      <c r="B35" s="12" t="s">
        <v>215</v>
      </c>
      <c r="C35" s="15">
        <v>0.1</v>
      </c>
      <c r="D35" s="12" t="s">
        <v>118</v>
      </c>
      <c r="E35" s="12" t="s">
        <v>216</v>
      </c>
    </row>
    <row r="36" spans="1:4" ht="12.75">
      <c r="A36">
        <v>10</v>
      </c>
      <c r="B36" s="12" t="s">
        <v>57</v>
      </c>
      <c r="C36" s="15">
        <v>0.1</v>
      </c>
      <c r="D36" s="12" t="s">
        <v>118</v>
      </c>
    </row>
    <row r="37" spans="1:4" ht="12.75">
      <c r="A37">
        <v>30</v>
      </c>
      <c r="B37" s="12" t="s">
        <v>57</v>
      </c>
      <c r="C37" s="15">
        <v>0.15</v>
      </c>
      <c r="D37" s="12" t="s">
        <v>118</v>
      </c>
    </row>
    <row r="38" spans="1:4" ht="12.75">
      <c r="A38">
        <v>50</v>
      </c>
      <c r="B38" s="12" t="s">
        <v>57</v>
      </c>
      <c r="C38" s="15">
        <v>0.2</v>
      </c>
      <c r="D38" s="12" t="s">
        <v>118</v>
      </c>
    </row>
    <row r="39" spans="1:4" ht="12.75">
      <c r="A39">
        <v>70</v>
      </c>
      <c r="B39" s="12" t="s">
        <v>57</v>
      </c>
      <c r="C39" s="15">
        <v>0.25</v>
      </c>
      <c r="D39" s="12" t="s">
        <v>118</v>
      </c>
    </row>
    <row r="40" spans="1:4" ht="12.75">
      <c r="A40">
        <v>0</v>
      </c>
      <c r="B40" s="12" t="s">
        <v>217</v>
      </c>
      <c r="C40" s="15">
        <v>0</v>
      </c>
      <c r="D40" s="12" t="s">
        <v>107</v>
      </c>
    </row>
    <row r="41" spans="1:4" ht="12.75">
      <c r="A41">
        <v>55</v>
      </c>
      <c r="B41" s="12" t="s">
        <v>217</v>
      </c>
      <c r="C41" s="15">
        <v>0.05</v>
      </c>
      <c r="D41" s="12" t="s">
        <v>107</v>
      </c>
    </row>
    <row r="42" spans="1:4" ht="12.75">
      <c r="A42">
        <v>75</v>
      </c>
      <c r="B42" s="12" t="s">
        <v>217</v>
      </c>
      <c r="C42" s="15">
        <v>0.06</v>
      </c>
      <c r="D42" s="12" t="s">
        <v>107</v>
      </c>
    </row>
    <row r="43" spans="1:4" ht="12.75">
      <c r="A43">
        <v>0</v>
      </c>
      <c r="B43" s="12" t="s">
        <v>179</v>
      </c>
      <c r="C43">
        <v>10</v>
      </c>
      <c r="D43" s="12" t="s">
        <v>105</v>
      </c>
    </row>
    <row r="44" spans="1:4" ht="12.75">
      <c r="A44">
        <v>30</v>
      </c>
      <c r="B44" s="12" t="s">
        <v>179</v>
      </c>
      <c r="C44">
        <v>10</v>
      </c>
      <c r="D44" s="12" t="s">
        <v>105</v>
      </c>
    </row>
    <row r="45" spans="1:4" ht="12.75">
      <c r="A45">
        <v>0</v>
      </c>
      <c r="B45" s="12" t="s">
        <v>55</v>
      </c>
      <c r="C45" s="15">
        <v>0</v>
      </c>
      <c r="D45" s="12" t="s">
        <v>105</v>
      </c>
    </row>
    <row r="46" spans="1:4" ht="12.75">
      <c r="A46">
        <v>25</v>
      </c>
      <c r="B46" s="12" t="s">
        <v>55</v>
      </c>
      <c r="C46" s="15">
        <v>0.1</v>
      </c>
      <c r="D46" s="12" t="s">
        <v>105</v>
      </c>
    </row>
    <row r="47" spans="1:4" ht="12.75">
      <c r="A47">
        <v>75</v>
      </c>
      <c r="B47" s="12" t="s">
        <v>55</v>
      </c>
      <c r="C47" s="15">
        <v>0.11</v>
      </c>
      <c r="D47" s="12" t="s">
        <v>105</v>
      </c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A1">
      <pane xSplit="1" topLeftCell="B1" activePane="topRight" state="frozen"/>
      <selection pane="topLeft" activeCell="A1" sqref="A1"/>
      <selection pane="topRight" activeCell="A11" sqref="A11"/>
    </sheetView>
  </sheetViews>
  <sheetFormatPr defaultColWidth="9.140625" defaultRowHeight="12.75"/>
  <cols>
    <col min="1" max="1" width="12.7109375" style="0" bestFit="1" customWidth="1"/>
    <col min="2" max="2" width="11.421875" style="0" bestFit="1" customWidth="1"/>
    <col min="3" max="3" width="10.57421875" style="0" bestFit="1" customWidth="1"/>
    <col min="4" max="4" width="13.421875" style="0" bestFit="1" customWidth="1"/>
    <col min="5" max="5" width="14.00390625" style="0" bestFit="1" customWidth="1"/>
    <col min="7" max="7" width="11.7109375" style="0" customWidth="1"/>
    <col min="9" max="9" width="9.8515625" style="0" customWidth="1"/>
    <col min="10" max="10" width="12.57421875" style="0" customWidth="1"/>
    <col min="11" max="11" width="10.8515625" style="0" customWidth="1"/>
    <col min="12" max="12" width="11.00390625" style="0" customWidth="1"/>
    <col min="13" max="13" width="10.7109375" style="0" customWidth="1"/>
    <col min="14" max="14" width="11.140625" style="0" customWidth="1"/>
    <col min="15" max="15" width="12.00390625" style="0" customWidth="1"/>
    <col min="16" max="16" width="12.8515625" style="0" customWidth="1"/>
    <col min="17" max="18" width="11.57421875" style="0" customWidth="1"/>
    <col min="19" max="19" width="8.8515625" style="0" customWidth="1"/>
    <col min="20" max="20" width="12.28125" style="0" bestFit="1" customWidth="1"/>
    <col min="21" max="21" width="9.7109375" style="0" customWidth="1"/>
    <col min="22" max="22" width="13.57421875" style="0" customWidth="1"/>
    <col min="23" max="23" width="10.421875" style="0" customWidth="1"/>
    <col min="24" max="24" width="15.8515625" style="0" customWidth="1"/>
    <col min="25" max="25" width="12.00390625" style="0" customWidth="1"/>
    <col min="26" max="26" width="11.8515625" style="0" customWidth="1"/>
    <col min="27" max="27" width="10.8515625" style="0" customWidth="1"/>
    <col min="28" max="28" width="14.421875" style="0" customWidth="1"/>
    <col min="29" max="29" width="11.57421875" style="0" bestFit="1" customWidth="1"/>
    <col min="30" max="30" width="14.57421875" style="0" customWidth="1"/>
  </cols>
  <sheetData>
    <row r="1" spans="1:30" ht="12.75">
      <c r="A1" s="45" t="s">
        <v>291</v>
      </c>
      <c r="B1" s="12" t="s">
        <v>399</v>
      </c>
      <c r="C1" s="12" t="s">
        <v>391</v>
      </c>
      <c r="D1" s="12" t="s">
        <v>411</v>
      </c>
      <c r="E1" s="12" t="s">
        <v>435</v>
      </c>
      <c r="F1" s="12" t="s">
        <v>346</v>
      </c>
      <c r="G1" s="12" t="s">
        <v>349</v>
      </c>
      <c r="H1" s="12" t="s">
        <v>348</v>
      </c>
      <c r="I1" s="12" t="s">
        <v>347</v>
      </c>
      <c r="J1" s="12" t="s">
        <v>350</v>
      </c>
      <c r="K1" s="12" t="s">
        <v>292</v>
      </c>
      <c r="L1" s="12" t="s">
        <v>352</v>
      </c>
      <c r="M1" s="12" t="s">
        <v>398</v>
      </c>
      <c r="N1" s="12" t="s">
        <v>392</v>
      </c>
      <c r="O1" s="12" t="s">
        <v>356</v>
      </c>
      <c r="P1" s="12" t="s">
        <v>353</v>
      </c>
      <c r="Q1" s="12" t="s">
        <v>357</v>
      </c>
      <c r="R1" s="12" t="s">
        <v>355</v>
      </c>
      <c r="S1" s="12" t="s">
        <v>354</v>
      </c>
      <c r="T1" s="12" t="s">
        <v>437</v>
      </c>
      <c r="U1" s="12" t="s">
        <v>351</v>
      </c>
      <c r="V1" s="12" t="s">
        <v>412</v>
      </c>
      <c r="W1" s="12" t="s">
        <v>385</v>
      </c>
      <c r="X1" s="12" t="s">
        <v>393</v>
      </c>
      <c r="Y1" s="12" t="s">
        <v>395</v>
      </c>
      <c r="Z1" s="12" t="s">
        <v>396</v>
      </c>
      <c r="AA1" s="12" t="s">
        <v>397</v>
      </c>
      <c r="AB1" s="12" t="s">
        <v>394</v>
      </c>
      <c r="AC1" s="12" t="s">
        <v>436</v>
      </c>
      <c r="AD1" s="12" t="s">
        <v>296</v>
      </c>
    </row>
    <row r="2" spans="1:30" ht="12.75">
      <c r="A2" s="45" t="s">
        <v>264</v>
      </c>
      <c r="B2" s="12">
        <v>1</v>
      </c>
      <c r="C2" s="12">
        <f aca="true" t="shared" si="0" ref="C2:AD2">B2+1</f>
        <v>2</v>
      </c>
      <c r="D2" s="12">
        <f t="shared" si="0"/>
        <v>3</v>
      </c>
      <c r="E2" s="12">
        <f t="shared" si="0"/>
        <v>4</v>
      </c>
      <c r="F2" s="12">
        <f t="shared" si="0"/>
        <v>5</v>
      </c>
      <c r="G2" s="12">
        <f t="shared" si="0"/>
        <v>6</v>
      </c>
      <c r="H2" s="12">
        <f t="shared" si="0"/>
        <v>7</v>
      </c>
      <c r="I2" s="12">
        <f t="shared" si="0"/>
        <v>8</v>
      </c>
      <c r="J2" s="12">
        <f t="shared" si="0"/>
        <v>9</v>
      </c>
      <c r="K2" s="12">
        <f t="shared" si="0"/>
        <v>10</v>
      </c>
      <c r="L2" s="12">
        <f t="shared" si="0"/>
        <v>11</v>
      </c>
      <c r="M2" s="12">
        <f t="shared" si="0"/>
        <v>12</v>
      </c>
      <c r="N2" s="12">
        <f t="shared" si="0"/>
        <v>13</v>
      </c>
      <c r="O2" s="12">
        <f t="shared" si="0"/>
        <v>14</v>
      </c>
      <c r="P2" s="12">
        <f t="shared" si="0"/>
        <v>15</v>
      </c>
      <c r="Q2" s="12">
        <f t="shared" si="0"/>
        <v>16</v>
      </c>
      <c r="R2" s="12">
        <f t="shared" si="0"/>
        <v>17</v>
      </c>
      <c r="S2" s="12">
        <f t="shared" si="0"/>
        <v>18</v>
      </c>
      <c r="T2" s="12">
        <f t="shared" si="0"/>
        <v>19</v>
      </c>
      <c r="U2" s="12">
        <f t="shared" si="0"/>
        <v>20</v>
      </c>
      <c r="V2" s="12">
        <f t="shared" si="0"/>
        <v>21</v>
      </c>
      <c r="W2" s="12">
        <f t="shared" si="0"/>
        <v>22</v>
      </c>
      <c r="X2" s="12">
        <f t="shared" si="0"/>
        <v>23</v>
      </c>
      <c r="Y2" s="12">
        <f t="shared" si="0"/>
        <v>24</v>
      </c>
      <c r="Z2" s="12">
        <f t="shared" si="0"/>
        <v>25</v>
      </c>
      <c r="AA2" s="12">
        <f t="shared" si="0"/>
        <v>26</v>
      </c>
      <c r="AB2" s="12">
        <f t="shared" si="0"/>
        <v>27</v>
      </c>
      <c r="AC2" s="12">
        <f t="shared" si="0"/>
        <v>28</v>
      </c>
      <c r="AD2" s="12">
        <f t="shared" si="0"/>
        <v>29</v>
      </c>
    </row>
    <row r="3" spans="1:30" ht="12.75">
      <c r="A3" s="46" t="s">
        <v>12</v>
      </c>
      <c r="B3" s="6">
        <v>0.2</v>
      </c>
      <c r="C3" s="6">
        <v>0.1</v>
      </c>
      <c r="D3" s="6">
        <v>0.3</v>
      </c>
      <c r="E3" s="6">
        <v>0.3</v>
      </c>
      <c r="F3" s="6">
        <v>0.3</v>
      </c>
      <c r="G3" s="6">
        <v>0.5</v>
      </c>
      <c r="H3" s="6">
        <v>0.1</v>
      </c>
      <c r="I3" s="6">
        <v>0.3</v>
      </c>
      <c r="J3" s="6">
        <v>0</v>
      </c>
      <c r="K3" s="6">
        <v>0.5</v>
      </c>
      <c r="L3" s="6">
        <v>0</v>
      </c>
      <c r="M3" s="6">
        <v>0.2</v>
      </c>
      <c r="N3" s="6">
        <v>0.2</v>
      </c>
      <c r="O3" s="6">
        <v>0.5</v>
      </c>
      <c r="P3" s="6">
        <v>0</v>
      </c>
      <c r="Q3" s="6">
        <v>0.2</v>
      </c>
      <c r="R3" s="6">
        <v>0.35</v>
      </c>
      <c r="S3" s="6">
        <v>0.3</v>
      </c>
      <c r="T3" s="6">
        <v>0.3</v>
      </c>
      <c r="U3" s="6">
        <v>0</v>
      </c>
      <c r="V3" s="6">
        <v>0.3</v>
      </c>
      <c r="W3" s="6">
        <v>0</v>
      </c>
      <c r="X3" s="6">
        <v>0.35</v>
      </c>
      <c r="Y3" s="6">
        <v>0.75</v>
      </c>
      <c r="Z3" s="6">
        <v>0.75</v>
      </c>
      <c r="AA3" s="6">
        <v>0.35</v>
      </c>
      <c r="AB3" s="6">
        <v>0.75</v>
      </c>
      <c r="AC3" s="6">
        <v>0.3</v>
      </c>
      <c r="AD3" s="6">
        <v>0.5</v>
      </c>
    </row>
    <row r="4" spans="1:30" ht="12.75">
      <c r="A4" s="46" t="s">
        <v>14</v>
      </c>
      <c r="B4" s="15">
        <v>0</v>
      </c>
      <c r="C4" s="6">
        <v>0</v>
      </c>
      <c r="D4" s="6">
        <v>0</v>
      </c>
      <c r="E4" s="6">
        <v>0.3</v>
      </c>
      <c r="F4" s="6">
        <v>0.3</v>
      </c>
      <c r="G4" s="6">
        <v>0</v>
      </c>
      <c r="H4" s="6">
        <v>0.1</v>
      </c>
      <c r="I4" s="6">
        <v>0.3</v>
      </c>
      <c r="J4" s="6">
        <v>0.3</v>
      </c>
      <c r="K4" s="6">
        <v>0</v>
      </c>
      <c r="L4" s="6">
        <v>0.3</v>
      </c>
      <c r="M4" s="6">
        <v>0</v>
      </c>
      <c r="N4" s="6">
        <v>0</v>
      </c>
      <c r="O4" s="6">
        <v>0</v>
      </c>
      <c r="P4" s="6">
        <v>0.3</v>
      </c>
      <c r="Q4" s="6">
        <v>0.2</v>
      </c>
      <c r="R4" s="6">
        <v>0</v>
      </c>
      <c r="S4" s="6">
        <v>0</v>
      </c>
      <c r="T4" s="6">
        <v>0</v>
      </c>
      <c r="U4" s="6">
        <v>0.5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0" ht="12.75">
      <c r="A5" s="46" t="s">
        <v>16</v>
      </c>
      <c r="B5" s="15">
        <v>0.2</v>
      </c>
      <c r="C5" s="6">
        <v>0.1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0.5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0.35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0" ht="12.75">
      <c r="A6" s="46" t="s">
        <v>18</v>
      </c>
      <c r="B6" s="15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0" ht="12.75">
      <c r="A7" s="46" t="s">
        <v>20</v>
      </c>
      <c r="B7" s="15">
        <v>0</v>
      </c>
      <c r="C7" s="6">
        <v>0</v>
      </c>
      <c r="D7" s="6">
        <v>0</v>
      </c>
      <c r="E7" s="6">
        <v>0</v>
      </c>
      <c r="F7" s="6">
        <v>0</v>
      </c>
      <c r="G7" s="6">
        <v>0.5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0.3</v>
      </c>
      <c r="W7" s="6">
        <v>0.5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0" ht="12.75">
      <c r="A8" s="46" t="s">
        <v>22</v>
      </c>
      <c r="B8" s="1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0.2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0.5</v>
      </c>
      <c r="U8" s="6">
        <v>0</v>
      </c>
      <c r="V8" s="6">
        <v>0</v>
      </c>
      <c r="W8" s="6">
        <v>0.5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0" ht="12.75">
      <c r="A9" s="46" t="s">
        <v>24</v>
      </c>
      <c r="B9" s="1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0.4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0" ht="12.75">
      <c r="A10" s="46" t="s">
        <v>31</v>
      </c>
      <c r="B10" s="41">
        <v>1</v>
      </c>
      <c r="C10" s="41">
        <v>8</v>
      </c>
      <c r="D10" s="41">
        <v>1</v>
      </c>
      <c r="E10" s="41">
        <v>1</v>
      </c>
      <c r="F10" s="40">
        <v>3</v>
      </c>
      <c r="G10" s="40">
        <v>1</v>
      </c>
      <c r="H10" s="40">
        <v>5</v>
      </c>
      <c r="I10" s="40">
        <v>1</v>
      </c>
      <c r="J10" s="40">
        <v>5</v>
      </c>
      <c r="K10" s="40">
        <v>4</v>
      </c>
      <c r="L10" s="40">
        <v>5</v>
      </c>
      <c r="M10" s="41">
        <v>6</v>
      </c>
      <c r="N10" s="41">
        <v>1</v>
      </c>
      <c r="O10" s="40">
        <v>2</v>
      </c>
      <c r="P10" s="40">
        <v>1</v>
      </c>
      <c r="Q10" s="40">
        <v>5</v>
      </c>
      <c r="R10" s="40">
        <v>3</v>
      </c>
      <c r="S10" s="40">
        <v>5</v>
      </c>
      <c r="T10" s="41">
        <v>2</v>
      </c>
      <c r="U10" s="40">
        <v>2</v>
      </c>
      <c r="V10" s="41">
        <v>1</v>
      </c>
      <c r="W10" s="40">
        <v>1</v>
      </c>
      <c r="X10" s="41">
        <v>6</v>
      </c>
      <c r="Y10" s="41">
        <v>1</v>
      </c>
      <c r="Z10" s="41">
        <v>1</v>
      </c>
      <c r="AA10" s="41">
        <v>3</v>
      </c>
      <c r="AB10" s="41">
        <v>1</v>
      </c>
      <c r="AC10" s="41">
        <v>4</v>
      </c>
      <c r="AD10" s="40">
        <v>1</v>
      </c>
    </row>
    <row r="11" spans="1:30" ht="14.25" customHeight="1">
      <c r="A11" s="46" t="s">
        <v>34</v>
      </c>
      <c r="B11" s="18">
        <v>0</v>
      </c>
      <c r="C11" s="18">
        <v>0</v>
      </c>
      <c r="D11" s="15">
        <v>0</v>
      </c>
      <c r="E11" s="6">
        <v>0.4</v>
      </c>
      <c r="F11" s="18">
        <v>0.01</v>
      </c>
      <c r="G11" s="18">
        <v>0</v>
      </c>
      <c r="H11" s="18">
        <v>0</v>
      </c>
      <c r="I11" s="18">
        <v>0</v>
      </c>
      <c r="J11" s="18">
        <v>0</v>
      </c>
      <c r="K11" s="18">
        <v>0.01</v>
      </c>
      <c r="L11" s="18">
        <v>0.1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0.01</v>
      </c>
      <c r="S11" s="18">
        <v>0.01</v>
      </c>
      <c r="T11" s="6">
        <v>0</v>
      </c>
      <c r="U11" s="18">
        <v>0</v>
      </c>
      <c r="V11" s="6">
        <v>0</v>
      </c>
      <c r="W11" s="18">
        <v>0</v>
      </c>
      <c r="X11" s="18">
        <v>0.01</v>
      </c>
      <c r="Y11" s="18">
        <v>0</v>
      </c>
      <c r="Z11" s="18">
        <v>0</v>
      </c>
      <c r="AA11" s="18">
        <v>0</v>
      </c>
      <c r="AB11" s="18">
        <v>0</v>
      </c>
      <c r="AC11" s="15">
        <v>0.01</v>
      </c>
      <c r="AD11" s="18">
        <v>0</v>
      </c>
    </row>
    <row r="12" ht="12.75">
      <c r="A12" s="46" t="s">
        <v>294</v>
      </c>
    </row>
    <row r="13" spans="1:30" ht="12.75">
      <c r="A13" s="47">
        <v>1</v>
      </c>
      <c r="B13" s="37">
        <v>1</v>
      </c>
      <c r="C13" s="37">
        <v>1</v>
      </c>
      <c r="D13" s="37">
        <v>1.5</v>
      </c>
      <c r="E13" s="26">
        <v>1</v>
      </c>
      <c r="F13" s="37">
        <v>1</v>
      </c>
      <c r="G13" s="37">
        <v>1</v>
      </c>
      <c r="H13" s="37">
        <v>1</v>
      </c>
      <c r="I13" s="37">
        <v>2.5</v>
      </c>
      <c r="J13" s="37">
        <v>1.1875</v>
      </c>
      <c r="K13" s="37">
        <v>1</v>
      </c>
      <c r="L13" s="37">
        <v>1</v>
      </c>
      <c r="M13" s="37">
        <v>1</v>
      </c>
      <c r="N13" s="37">
        <v>2.5</v>
      </c>
      <c r="O13" s="37">
        <v>1</v>
      </c>
      <c r="P13" s="37">
        <v>2</v>
      </c>
      <c r="Q13" s="37">
        <v>1</v>
      </c>
      <c r="R13" s="37">
        <v>1</v>
      </c>
      <c r="S13" s="37">
        <v>0.5</v>
      </c>
      <c r="T13" s="37">
        <v>1</v>
      </c>
      <c r="U13" s="37">
        <v>2</v>
      </c>
      <c r="V13" s="26">
        <v>2.5</v>
      </c>
      <c r="W13" s="37">
        <v>1</v>
      </c>
      <c r="X13" s="37">
        <v>0.75</v>
      </c>
      <c r="Y13">
        <v>1.5625</v>
      </c>
      <c r="Z13">
        <v>1.5625</v>
      </c>
      <c r="AA13">
        <v>1</v>
      </c>
      <c r="AB13">
        <v>1.5625</v>
      </c>
      <c r="AC13" s="37">
        <v>1</v>
      </c>
      <c r="AD13" s="37">
        <v>1.75</v>
      </c>
    </row>
    <row r="14" spans="1:30" ht="12.75">
      <c r="A14" s="47">
        <v>2</v>
      </c>
      <c r="B14" s="37">
        <v>1</v>
      </c>
      <c r="C14" s="37">
        <v>1</v>
      </c>
      <c r="D14" s="37">
        <v>2</v>
      </c>
      <c r="E14" s="26">
        <v>1</v>
      </c>
      <c r="F14" s="26">
        <v>1</v>
      </c>
      <c r="G14" s="37">
        <v>1</v>
      </c>
      <c r="H14" s="37">
        <v>1</v>
      </c>
      <c r="I14" s="37">
        <v>2.75</v>
      </c>
      <c r="J14" s="37">
        <v>1.1875</v>
      </c>
      <c r="K14" s="37">
        <v>1</v>
      </c>
      <c r="L14" s="37">
        <v>1</v>
      </c>
      <c r="M14" s="37">
        <v>1</v>
      </c>
      <c r="N14" s="37">
        <v>2.75</v>
      </c>
      <c r="O14" s="37">
        <v>1.5</v>
      </c>
      <c r="P14">
        <v>2.125</v>
      </c>
      <c r="Q14" s="37">
        <v>1</v>
      </c>
      <c r="R14" s="37">
        <v>1</v>
      </c>
      <c r="S14" s="37">
        <v>0.5</v>
      </c>
      <c r="T14" s="37">
        <v>1.75</v>
      </c>
      <c r="U14" s="37">
        <v>2.5</v>
      </c>
      <c r="V14" s="26">
        <v>3</v>
      </c>
      <c r="W14" s="37">
        <v>1.5</v>
      </c>
      <c r="X14" s="37">
        <v>0.75</v>
      </c>
      <c r="Y14">
        <v>1.875</v>
      </c>
      <c r="Z14">
        <v>1.875</v>
      </c>
      <c r="AA14">
        <v>1</v>
      </c>
      <c r="AB14">
        <v>1.875</v>
      </c>
      <c r="AC14" s="37">
        <v>1</v>
      </c>
      <c r="AD14" s="37">
        <v>1.75</v>
      </c>
    </row>
    <row r="15" spans="1:30" ht="12.75">
      <c r="A15" s="47">
        <v>3</v>
      </c>
      <c r="B15" s="37">
        <v>1</v>
      </c>
      <c r="C15" s="37">
        <v>1</v>
      </c>
      <c r="D15" s="37">
        <v>2.5</v>
      </c>
      <c r="E15" s="26">
        <v>1</v>
      </c>
      <c r="F15" s="26">
        <v>1</v>
      </c>
      <c r="G15" s="37">
        <v>1</v>
      </c>
      <c r="H15" s="37">
        <v>1</v>
      </c>
      <c r="I15" s="26">
        <v>3</v>
      </c>
      <c r="J15" s="37">
        <v>1.1875</v>
      </c>
      <c r="K15" s="37">
        <v>1</v>
      </c>
      <c r="L15" s="37">
        <v>1</v>
      </c>
      <c r="M15" s="37">
        <v>1</v>
      </c>
      <c r="N15" s="37">
        <v>3</v>
      </c>
      <c r="O15" s="37">
        <v>2.5</v>
      </c>
      <c r="P15" s="37">
        <v>2.5</v>
      </c>
      <c r="Q15" s="37">
        <v>1</v>
      </c>
      <c r="R15" s="37">
        <v>1</v>
      </c>
      <c r="S15" s="37">
        <v>0.5</v>
      </c>
      <c r="T15" s="37">
        <v>3.5</v>
      </c>
      <c r="U15" s="37">
        <v>3</v>
      </c>
      <c r="V15" s="26">
        <v>3.5</v>
      </c>
      <c r="W15" s="37">
        <v>2</v>
      </c>
      <c r="X15" s="37">
        <v>0.75</v>
      </c>
      <c r="Y15" s="37">
        <v>2.5</v>
      </c>
      <c r="Z15" s="37">
        <v>2.5</v>
      </c>
      <c r="AA15" s="37">
        <v>1</v>
      </c>
      <c r="AB15" s="37">
        <v>2.5</v>
      </c>
      <c r="AC15" s="37">
        <v>1</v>
      </c>
      <c r="AD15" s="37">
        <v>1.75</v>
      </c>
    </row>
    <row r="16" spans="1:30" ht="12.75">
      <c r="A16" s="45" t="s">
        <v>409</v>
      </c>
      <c r="B16" s="37">
        <v>1</v>
      </c>
      <c r="C16" s="37">
        <v>1</v>
      </c>
      <c r="D16" s="37">
        <v>1</v>
      </c>
      <c r="E16" s="26">
        <v>1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1</v>
      </c>
      <c r="U16" s="37">
        <v>1</v>
      </c>
      <c r="V16" s="26">
        <v>1.5</v>
      </c>
      <c r="W16" s="37">
        <v>1</v>
      </c>
      <c r="X16" s="37">
        <v>1</v>
      </c>
      <c r="Y16" s="37">
        <v>1</v>
      </c>
      <c r="Z16" s="37">
        <v>1</v>
      </c>
      <c r="AA16" s="37">
        <v>1</v>
      </c>
      <c r="AB16" s="37">
        <v>1</v>
      </c>
      <c r="AC16" s="37">
        <v>1</v>
      </c>
      <c r="AD16" s="37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1" topLeftCell="B1" activePane="topRight" state="frozen"/>
      <selection pane="topLeft" activeCell="A1" sqref="A1"/>
      <selection pane="topRight" activeCell="C32" sqref="C32"/>
    </sheetView>
  </sheetViews>
  <sheetFormatPr defaultColWidth="9.140625" defaultRowHeight="12.75"/>
  <cols>
    <col min="1" max="1" width="12.140625" style="45" bestFit="1" customWidth="1"/>
    <col min="2" max="2" width="8.8515625" style="0" bestFit="1" customWidth="1"/>
    <col min="3" max="3" width="9.421875" style="0" bestFit="1" customWidth="1"/>
    <col min="4" max="4" width="12.00390625" style="0" bestFit="1" customWidth="1"/>
    <col min="5" max="5" width="9.421875" style="0" bestFit="1" customWidth="1"/>
    <col min="6" max="6" width="10.140625" style="0" bestFit="1" customWidth="1"/>
    <col min="7" max="7" width="11.7109375" style="0" bestFit="1" customWidth="1"/>
    <col min="8" max="8" width="12.28125" style="0" bestFit="1" customWidth="1"/>
    <col min="9" max="9" width="12.57421875" style="0" bestFit="1" customWidth="1"/>
    <col min="10" max="10" width="13.57421875" style="0" bestFit="1" customWidth="1"/>
    <col min="11" max="11" width="14.421875" style="0" bestFit="1" customWidth="1"/>
    <col min="12" max="12" width="12.57421875" style="0" bestFit="1" customWidth="1"/>
    <col min="13" max="13" width="9.28125" style="0" bestFit="1" customWidth="1"/>
    <col min="14" max="14" width="13.140625" style="0" bestFit="1" customWidth="1"/>
    <col min="15" max="15" width="11.140625" style="0" bestFit="1" customWidth="1"/>
    <col min="16" max="16" width="10.00390625" style="0" bestFit="1" customWidth="1"/>
    <col min="17" max="17" width="11.00390625" style="0" bestFit="1" customWidth="1"/>
    <col min="18" max="18" width="13.421875" style="0" bestFit="1" customWidth="1"/>
    <col min="19" max="16384" width="54.57421875" style="0" customWidth="1"/>
  </cols>
  <sheetData>
    <row r="1" spans="1:18" ht="12.75">
      <c r="A1" s="46" t="s">
        <v>242</v>
      </c>
      <c r="B1" s="12" t="s">
        <v>243</v>
      </c>
      <c r="C1" s="12" t="s">
        <v>252</v>
      </c>
      <c r="D1" s="12" t="s">
        <v>250</v>
      </c>
      <c r="E1" s="12" t="s">
        <v>256</v>
      </c>
      <c r="F1" s="12" t="s">
        <v>255</v>
      </c>
      <c r="G1" s="12" t="s">
        <v>248</v>
      </c>
      <c r="H1" s="12" t="s">
        <v>244</v>
      </c>
      <c r="I1" s="12" t="s">
        <v>254</v>
      </c>
      <c r="J1" s="12" t="s">
        <v>263</v>
      </c>
      <c r="K1" s="12" t="s">
        <v>257</v>
      </c>
      <c r="L1" s="12" t="s">
        <v>253</v>
      </c>
      <c r="M1" s="12" t="s">
        <v>249</v>
      </c>
      <c r="N1" s="12" t="s">
        <v>258</v>
      </c>
      <c r="O1" s="12" t="s">
        <v>251</v>
      </c>
      <c r="P1" s="12" t="s">
        <v>261</v>
      </c>
      <c r="Q1" s="12" t="s">
        <v>262</v>
      </c>
      <c r="R1" s="12" t="s">
        <v>260</v>
      </c>
    </row>
    <row r="2" spans="1:18" ht="12.75">
      <c r="A2" s="46" t="s">
        <v>264</v>
      </c>
      <c r="B2" s="12">
        <v>1</v>
      </c>
      <c r="C2" s="12">
        <f>B2+1</f>
        <v>2</v>
      </c>
      <c r="D2" s="12">
        <f>C2+1</f>
        <v>3</v>
      </c>
      <c r="E2" s="12">
        <f aca="true" t="shared" si="0" ref="E2:R2">D2+1</f>
        <v>4</v>
      </c>
      <c r="F2" s="12">
        <f t="shared" si="0"/>
        <v>5</v>
      </c>
      <c r="G2" s="12">
        <f t="shared" si="0"/>
        <v>6</v>
      </c>
      <c r="H2" s="12">
        <f t="shared" si="0"/>
        <v>7</v>
      </c>
      <c r="I2" s="12">
        <f t="shared" si="0"/>
        <v>8</v>
      </c>
      <c r="J2" s="12">
        <f t="shared" si="0"/>
        <v>9</v>
      </c>
      <c r="K2" s="12">
        <f t="shared" si="0"/>
        <v>10</v>
      </c>
      <c r="L2" s="12">
        <f t="shared" si="0"/>
        <v>11</v>
      </c>
      <c r="M2" s="12">
        <f t="shared" si="0"/>
        <v>12</v>
      </c>
      <c r="N2" s="12">
        <f t="shared" si="0"/>
        <v>13</v>
      </c>
      <c r="O2" s="12">
        <f t="shared" si="0"/>
        <v>14</v>
      </c>
      <c r="P2" s="12">
        <f t="shared" si="0"/>
        <v>15</v>
      </c>
      <c r="Q2" s="12">
        <f t="shared" si="0"/>
        <v>16</v>
      </c>
      <c r="R2" s="12">
        <f t="shared" si="0"/>
        <v>17</v>
      </c>
    </row>
    <row r="3" spans="1:15" s="19" customFormat="1" ht="12.75">
      <c r="A3" s="48" t="s">
        <v>245</v>
      </c>
      <c r="C3" s="19">
        <v>0.225</v>
      </c>
      <c r="D3" s="19">
        <v>0.14</v>
      </c>
      <c r="E3" s="19">
        <v>0.18</v>
      </c>
      <c r="F3" s="19">
        <v>0.22</v>
      </c>
      <c r="G3" s="19">
        <v>0.22</v>
      </c>
      <c r="H3" s="19">
        <v>0.2</v>
      </c>
      <c r="I3" s="19">
        <v>0.18</v>
      </c>
      <c r="J3" s="19">
        <v>0.2</v>
      </c>
      <c r="K3" s="19">
        <v>0.22</v>
      </c>
      <c r="L3" s="19">
        <v>0.18</v>
      </c>
      <c r="M3" s="19">
        <v>0.23</v>
      </c>
      <c r="N3" s="19">
        <v>0.2</v>
      </c>
      <c r="O3" s="19">
        <v>0.14</v>
      </c>
    </row>
    <row r="4" spans="1:15" ht="12.75">
      <c r="A4" s="46" t="s">
        <v>246</v>
      </c>
      <c r="C4">
        <v>120</v>
      </c>
      <c r="D4">
        <v>85</v>
      </c>
      <c r="E4">
        <v>65</v>
      </c>
      <c r="F4">
        <v>80</v>
      </c>
      <c r="G4">
        <v>150</v>
      </c>
      <c r="H4">
        <v>150</v>
      </c>
      <c r="I4">
        <v>90</v>
      </c>
      <c r="J4">
        <v>50</v>
      </c>
      <c r="K4">
        <v>60</v>
      </c>
      <c r="L4">
        <v>95</v>
      </c>
      <c r="M4">
        <v>150</v>
      </c>
      <c r="N4">
        <v>45</v>
      </c>
      <c r="O4">
        <v>85</v>
      </c>
    </row>
    <row r="5" spans="1:18" s="15" customFormat="1" ht="12.75">
      <c r="A5" s="49" t="s">
        <v>247</v>
      </c>
      <c r="J5" s="15">
        <v>0.1</v>
      </c>
      <c r="P5" s="15">
        <v>0.15</v>
      </c>
      <c r="Q5" s="15">
        <v>0.15</v>
      </c>
      <c r="R5" s="15">
        <v>0.19</v>
      </c>
    </row>
    <row r="6" spans="1:18" ht="12.75">
      <c r="A6" s="46" t="s">
        <v>259</v>
      </c>
      <c r="J6">
        <v>999</v>
      </c>
      <c r="P6">
        <v>999</v>
      </c>
      <c r="Q6">
        <v>999</v>
      </c>
      <c r="R6">
        <v>18</v>
      </c>
    </row>
    <row r="7" spans="1:17" ht="12.75">
      <c r="A7" s="46" t="s">
        <v>8</v>
      </c>
      <c r="B7">
        <v>7</v>
      </c>
      <c r="C7">
        <v>120</v>
      </c>
      <c r="E7">
        <v>175</v>
      </c>
      <c r="G7">
        <v>20</v>
      </c>
      <c r="H7">
        <v>25</v>
      </c>
      <c r="I7">
        <v>55</v>
      </c>
      <c r="J7">
        <v>20</v>
      </c>
      <c r="L7">
        <v>55</v>
      </c>
      <c r="M7">
        <v>25</v>
      </c>
      <c r="N7">
        <v>17</v>
      </c>
      <c r="P7">
        <v>20</v>
      </c>
      <c r="Q7">
        <v>30</v>
      </c>
    </row>
    <row r="8" spans="1:6" ht="12.75">
      <c r="A8" s="46" t="s">
        <v>10</v>
      </c>
      <c r="B8">
        <v>7</v>
      </c>
      <c r="F8">
        <v>10</v>
      </c>
    </row>
    <row r="9" spans="1:16" ht="12.75">
      <c r="A9" s="46" t="s">
        <v>12</v>
      </c>
      <c r="B9">
        <v>7</v>
      </c>
      <c r="C9">
        <v>5</v>
      </c>
      <c r="E9">
        <v>4</v>
      </c>
      <c r="F9">
        <v>5</v>
      </c>
      <c r="G9">
        <v>7</v>
      </c>
      <c r="H9">
        <v>7</v>
      </c>
      <c r="I9">
        <v>6</v>
      </c>
      <c r="K9">
        <v>5</v>
      </c>
      <c r="L9">
        <v>6</v>
      </c>
      <c r="M9">
        <v>7</v>
      </c>
      <c r="N9">
        <v>3</v>
      </c>
      <c r="P9">
        <v>5</v>
      </c>
    </row>
    <row r="10" spans="1:18" ht="12.75">
      <c r="A10" s="46" t="s">
        <v>14</v>
      </c>
      <c r="B10">
        <v>7</v>
      </c>
      <c r="D10">
        <v>4</v>
      </c>
      <c r="O10">
        <v>3</v>
      </c>
      <c r="P10">
        <v>6</v>
      </c>
      <c r="Q10">
        <v>6</v>
      </c>
      <c r="R10">
        <v>3</v>
      </c>
    </row>
    <row r="11" spans="1:14" ht="12.75">
      <c r="A11" s="46" t="s">
        <v>16</v>
      </c>
      <c r="B11">
        <v>7</v>
      </c>
      <c r="C11">
        <v>2</v>
      </c>
      <c r="E11">
        <v>2</v>
      </c>
      <c r="G11">
        <v>2</v>
      </c>
      <c r="H11">
        <v>2</v>
      </c>
      <c r="I11">
        <v>2</v>
      </c>
      <c r="L11">
        <v>2</v>
      </c>
      <c r="N11">
        <v>2</v>
      </c>
    </row>
    <row r="12" spans="1:18" ht="12.75">
      <c r="A12" s="46" t="s">
        <v>18</v>
      </c>
      <c r="B12">
        <v>7</v>
      </c>
      <c r="F12">
        <v>1</v>
      </c>
      <c r="G12">
        <v>2</v>
      </c>
      <c r="H12">
        <v>2</v>
      </c>
      <c r="K12">
        <v>1</v>
      </c>
      <c r="M12">
        <v>1</v>
      </c>
      <c r="N12">
        <v>1</v>
      </c>
      <c r="Q12">
        <v>5</v>
      </c>
      <c r="R12">
        <v>3</v>
      </c>
    </row>
    <row r="13" spans="1:13" ht="12.75">
      <c r="A13" s="46" t="s">
        <v>20</v>
      </c>
      <c r="B13">
        <v>7</v>
      </c>
      <c r="C13">
        <v>-7</v>
      </c>
      <c r="E13">
        <v>-3</v>
      </c>
      <c r="F13">
        <v>-2</v>
      </c>
      <c r="G13">
        <v>-2</v>
      </c>
      <c r="H13">
        <v>-3</v>
      </c>
      <c r="I13">
        <v>-3</v>
      </c>
      <c r="K13">
        <v>-2</v>
      </c>
      <c r="L13">
        <v>-3</v>
      </c>
      <c r="M13">
        <v>-3</v>
      </c>
    </row>
    <row r="14" spans="1:18" ht="12.75">
      <c r="A14" s="46" t="s">
        <v>22</v>
      </c>
      <c r="B14">
        <v>7</v>
      </c>
      <c r="D14">
        <v>-1</v>
      </c>
      <c r="I14">
        <v>3</v>
      </c>
      <c r="L14">
        <v>3</v>
      </c>
      <c r="O14">
        <v>-1</v>
      </c>
      <c r="R14">
        <v>-1</v>
      </c>
    </row>
    <row r="15" spans="1:2" ht="12.75">
      <c r="A15" s="46" t="s">
        <v>24</v>
      </c>
      <c r="B15">
        <v>7</v>
      </c>
    </row>
    <row r="16" ht="12.75">
      <c r="A16" s="46" t="s">
        <v>26</v>
      </c>
    </row>
    <row r="17" spans="1:18" ht="12.75">
      <c r="A17" s="46" t="s">
        <v>30</v>
      </c>
      <c r="B17">
        <v>7</v>
      </c>
      <c r="C17">
        <f>FLOOR(IF(Setup1!$E$36*(Food!C$3)&gt;C$4,C$4,Setup1!$E$36*(Food!C$3)),1)</f>
        <v>87</v>
      </c>
      <c r="D17">
        <f>FLOOR(IF(Setup1!$E$36*(Food!D3)&gt;D4,D4,Setup1!$E$36*(Food!D3)),1)</f>
        <v>54</v>
      </c>
      <c r="E17">
        <f>FLOOR(IF(Setup1!$E$36*(Food!E3)&gt;E4,E4,Setup1!$E$36*(Food!E3)),1)</f>
        <v>65</v>
      </c>
      <c r="F17">
        <f>FLOOR(IF(Setup1!$E$36*(Food!F3)&gt;F4,F4,Setup1!$E$36*(Food!F3)),1)</f>
        <v>80</v>
      </c>
      <c r="G17">
        <f>FLOOR(IF(Setup1!$E$36*(Food!G3)&gt;G4,G4,Setup1!$E$36*(Food!G3)),1)</f>
        <v>85</v>
      </c>
      <c r="H17">
        <f>FLOOR(IF(Setup1!$E$36*(Food!H3)&gt;H4,H4,Setup1!$E$36*(Food!H3)),1)</f>
        <v>77</v>
      </c>
      <c r="I17">
        <f>FLOOR(IF(Setup1!$E$36*(Food!I3)&gt;I4,I4,Setup1!$E$36*(Food!I3)),1)</f>
        <v>69</v>
      </c>
      <c r="J17">
        <f>FLOOR(IF(Setup1!$E$36*(Food!J3)&gt;J4,J4,Setup1!$E$36*(Food!J3)),1)</f>
        <v>50</v>
      </c>
      <c r="K17">
        <f>FLOOR(IF(Setup1!$E$36*(Food!K3)&gt;K4,K4,Setup1!$E$36*(Food!K3)),1)</f>
        <v>60</v>
      </c>
      <c r="L17">
        <f>FLOOR(IF(Setup1!$E$36*(Food!L3)&gt;L4,L4,Setup1!$E$36*(Food!L3)),1)</f>
        <v>69</v>
      </c>
      <c r="M17">
        <f>FLOOR(IF(Setup1!$E$36*(Food!M3)&gt;M4,M4,Setup1!$E$36*(Food!M3)),1)</f>
        <v>89</v>
      </c>
      <c r="N17">
        <f>FLOOR(IF(Setup1!$E$36*(Food!N3)&gt;N4,N4,Setup1!$E$36*(Food!N3)),1)</f>
        <v>45</v>
      </c>
      <c r="O17">
        <f>FLOOR(IF(Setup1!$E$36*(Food!O3)&gt;O4,O4,Setup1!$E$36*(Food!O3)),1)</f>
        <v>54</v>
      </c>
      <c r="P17">
        <f>FLOOR(IF(Setup1!$E$36*(Food!P3)&gt;P4,P4,Setup1!$E$36*(Food!P3)),1)</f>
        <v>0</v>
      </c>
      <c r="Q17">
        <f>FLOOR(IF(Setup1!$E$36*(Food!Q3)&gt;Q4,Q4,Setup1!$E$36*(Food!Q3)),1)</f>
        <v>0</v>
      </c>
      <c r="R17">
        <f>FLOOR(IF(Setup1!$E$36*(Food!R3)&gt;R4,R4,Setup1!$E$36*(Food!R3)),1)</f>
        <v>0</v>
      </c>
    </row>
    <row r="18" spans="1:18" ht="12.75">
      <c r="A18" s="46" t="s">
        <v>33</v>
      </c>
      <c r="B18">
        <v>7</v>
      </c>
      <c r="C18">
        <f>FLOOR(IF(Setup1!$C$36*(Food!C5)&gt;C$6,C$6,Setup1!$C$36*(Food!C$5)),1)</f>
        <v>0</v>
      </c>
      <c r="D18">
        <f>FLOOR(IF(Setup1!$C$36*(Food!D5)&gt;D6,D6,Setup1!$C$36*(Food!D5)),1)</f>
        <v>0</v>
      </c>
      <c r="E18">
        <f>FLOOR(IF(Setup1!$C$36*(Food!E5)&gt;E6,E6,Setup1!$C$36*(Food!E5)),1)</f>
        <v>0</v>
      </c>
      <c r="F18">
        <f>FLOOR(IF(Setup1!$C$36*(Food!F5)&gt;F6,F6,Setup1!$C$36*(Food!F5)),1)</f>
        <v>0</v>
      </c>
      <c r="G18">
        <f>FLOOR(IF(Setup1!$C$36*(Food!G5)&gt;G6,G6,Setup1!$C$36*(Food!G5)),1)</f>
        <v>0</v>
      </c>
      <c r="H18">
        <f>FLOOR(IF(Setup1!$C$36*(Food!H5)&gt;H6,H6,Setup1!$C$36*(Food!H5)),1)</f>
        <v>0</v>
      </c>
      <c r="I18">
        <v>5</v>
      </c>
      <c r="J18">
        <f>FLOOR(IF(Setup1!$C$36*(Food!J5)&gt;J6,J6,Setup1!$C$36*(Food!J5)),1)</f>
        <v>37</v>
      </c>
      <c r="K18">
        <f>FLOOR(IF(Setup1!$C$36*(Food!K5)&gt;K6,K6,Setup1!$C$36*(Food!K5)),1)</f>
        <v>0</v>
      </c>
      <c r="L18">
        <v>5</v>
      </c>
      <c r="M18">
        <f>FLOOR(IF(Setup1!$C$36*(Food!M5)&gt;M6,M6,Setup1!$C$36*(Food!M5)),1)</f>
        <v>0</v>
      </c>
      <c r="N18">
        <v>5</v>
      </c>
      <c r="O18">
        <f>FLOOR(IF(Setup1!$C$36*(Food!O5)&gt;O6,O6,Setup1!$C$36*(Food!O5)),1)</f>
        <v>0</v>
      </c>
      <c r="P18">
        <f>FLOOR(IF(Setup1!$C$36*(Food!P5)&gt;P6,P6,Setup1!$C$36*(Food!P5)),1)</f>
        <v>56</v>
      </c>
      <c r="Q18">
        <f>FLOOR(IF(Setup1!$C$36*(Food!Q5)&gt;Q6,Q6,Setup1!$C$36*(Food!Q5)),1)</f>
        <v>56</v>
      </c>
      <c r="R18">
        <f>FLOOR(IF(Setup1!$C$36*(Food!R5)&gt;R6,R6,Setup1!$C$36*(Food!R5)),1)</f>
        <v>18</v>
      </c>
    </row>
    <row r="19" spans="1:2" ht="12.75">
      <c r="A19" s="46" t="s">
        <v>37</v>
      </c>
      <c r="B19">
        <v>7</v>
      </c>
    </row>
    <row r="20" spans="1:2" ht="12.75">
      <c r="A20" s="46" t="s">
        <v>39</v>
      </c>
      <c r="B20">
        <v>7</v>
      </c>
    </row>
    <row r="21" spans="1:5" ht="12.75">
      <c r="A21" s="46" t="s">
        <v>57</v>
      </c>
      <c r="B21">
        <v>7</v>
      </c>
      <c r="C21">
        <v>5</v>
      </c>
      <c r="E21">
        <v>6</v>
      </c>
    </row>
    <row r="22" spans="1:18" s="15" customFormat="1" ht="12.75">
      <c r="A22" s="49" t="s">
        <v>232</v>
      </c>
      <c r="R22" s="15">
        <v>0.01</v>
      </c>
    </row>
    <row r="23" s="15" customFormat="1" ht="12.75">
      <c r="A23" s="49" t="s">
        <v>233</v>
      </c>
    </row>
    <row r="24" ht="12.75">
      <c r="A24" s="46" t="s">
        <v>59</v>
      </c>
    </row>
    <row r="25" ht="12.75">
      <c r="A25" s="46" t="s">
        <v>64</v>
      </c>
    </row>
    <row r="26" spans="1:18" ht="12.75">
      <c r="A26" s="46" t="s">
        <v>287</v>
      </c>
      <c r="B26">
        <v>7</v>
      </c>
      <c r="C26">
        <f>FLOOR(IF(Setup1!$C$26*(Food!C$3)&gt;C$4,C$4,Setup1!$C$26*(Food!C$3)),1)</f>
        <v>87</v>
      </c>
      <c r="D26">
        <f>FLOOR(IF(Setup1!$C$26*(Food!D$3)&gt;D$4,D$4,Setup1!$C$26*(Food!D$3)),1)</f>
        <v>54</v>
      </c>
      <c r="E26">
        <f>FLOOR(IF(Setup1!$C$26*(Food!E$3)&gt;E$4,E$4,Setup1!$C$26*(Food!E$3)),1)</f>
        <v>65</v>
      </c>
      <c r="F26">
        <f>FLOOR(IF(Setup1!$C$26*(Food!F$3)&gt;F$4,F$4,Setup1!$C$26*(Food!F$3)),1)</f>
        <v>80</v>
      </c>
      <c r="G26">
        <f>FLOOR(IF(Setup1!$C$26*(Food!G$3)&gt;G$4,G$4,Setup1!$C$26*(Food!G$3)),1)</f>
        <v>85</v>
      </c>
      <c r="H26">
        <f>FLOOR(IF(Setup1!$C$26*(Food!H$3)&gt;H$4,H$4,Setup1!$C$26*(Food!H$3)),1)</f>
        <v>77</v>
      </c>
      <c r="I26">
        <f>FLOOR(IF(Setup1!$C$26*(Food!I$3)&gt;I$4,I$4,Setup1!$C$26*(Food!I$3)),1)</f>
        <v>69</v>
      </c>
      <c r="J26">
        <f>FLOOR(IF(Setup1!$C$26*(Food!J$3)&gt;J$4,J$4,Setup1!$C$26*(Food!J$3)),1)</f>
        <v>50</v>
      </c>
      <c r="K26">
        <f>FLOOR(IF(Setup1!$C$26*(Food!K$3)&gt;K$4,K$4,Setup1!$C$26*(Food!K$3)),1)</f>
        <v>60</v>
      </c>
      <c r="L26">
        <f>FLOOR(IF(Setup1!$C$26*(Food!L$3)&gt;L$4,L$4,Setup1!$C$26*(Food!L$3)),1)</f>
        <v>69</v>
      </c>
      <c r="M26">
        <f>FLOOR(IF(Setup1!$C$26*(Food!M$3)&gt;M$4,M$4,Setup1!$C$26*(Food!M$3)),1)</f>
        <v>89</v>
      </c>
      <c r="N26">
        <f>FLOOR(IF(Setup1!$C$26*(Food!N$3)&gt;N$4,N$4,Setup1!$C$26*(Food!N$3)),1)</f>
        <v>45</v>
      </c>
      <c r="O26">
        <f>FLOOR(IF(Setup1!$C$26*(Food!O$3)&gt;O$4,O$4,Setup1!$C$26*(Food!O$3)),1)</f>
        <v>54</v>
      </c>
      <c r="P26">
        <f>FLOOR(IF(Setup1!$C$26*(Food!P$3)&gt;P$4,P$4,Setup1!$C$26*(Food!P$3)),1)</f>
        <v>0</v>
      </c>
      <c r="Q26">
        <f>FLOOR(IF(Setup1!$C$26*(Food!Q$3)&gt;Q$4,Q$4,Setup1!$C$26*(Food!Q$3)),1)</f>
        <v>0</v>
      </c>
      <c r="R26">
        <f>FLOOR(IF(Setup1!$C$26*(Food!R$3)&gt;R$4,R$4,Setup1!$C$26*(Food!R$3)),1)</f>
        <v>0</v>
      </c>
    </row>
    <row r="27" spans="1:18" ht="12.75">
      <c r="A27" s="46" t="s">
        <v>288</v>
      </c>
      <c r="B27">
        <v>7</v>
      </c>
      <c r="C27">
        <f>FLOOR(IF(Setup1!$C$40*(Food!C$3)&gt;C$4,C$4,Setup1!$C$40*(Food!C$3)),1)</f>
        <v>87</v>
      </c>
      <c r="D27">
        <f>FLOOR(IF(Setup1!$C$40*(Food!D$3)&gt;D$4,D$4,Setup1!$C$40*(Food!D$3)),1)</f>
        <v>54</v>
      </c>
      <c r="E27">
        <f>FLOOR(IF(Setup1!$C$40*(Food!E$3)&gt;E$4,E$4,Setup1!$C$40*(Food!E$3)),1)</f>
        <v>65</v>
      </c>
      <c r="F27">
        <f>FLOOR(IF(Setup1!$C$40*(Food!F$3)&gt;F$4,F$4,Setup1!$C$40*(Food!F$3)),1)</f>
        <v>80</v>
      </c>
      <c r="G27">
        <f>FLOOR(IF(Setup1!$C$40*(Food!G$3)&gt;G$4,G$4,Setup1!$C$40*(Food!G$3)),1)</f>
        <v>85</v>
      </c>
      <c r="H27">
        <f>FLOOR(IF(Setup1!$C$40*(Food!H$3)&gt;H$4,H$4,Setup1!$C$40*(Food!H$3)),1)</f>
        <v>77</v>
      </c>
      <c r="I27">
        <f>FLOOR(IF(Setup1!$C$40*(Food!I$3)&gt;I$4,I$4,Setup1!$C$40*(Food!I$3)),1)</f>
        <v>69</v>
      </c>
      <c r="J27">
        <f>FLOOR(IF(Setup1!$C$40*(Food!J$3)&gt;J$4,J$4,Setup1!$C$40*(Food!J$3)),1)</f>
        <v>50</v>
      </c>
      <c r="K27">
        <f>FLOOR(IF(Setup1!$C$40*(Food!K$3)&gt;K$4,K$4,Setup1!$C$40*(Food!K$3)),1)</f>
        <v>60</v>
      </c>
      <c r="L27">
        <f>FLOOR(IF(Setup1!$C$40*(Food!L$3)&gt;L$4,L$4,Setup1!$C$40*(Food!L$3)),1)</f>
        <v>69</v>
      </c>
      <c r="M27">
        <f>FLOOR(IF(Setup1!$C$40*(Food!M$3)&gt;M$4,M$4,Setup1!$C$40*(Food!M$3)),1)</f>
        <v>89</v>
      </c>
      <c r="N27">
        <f>FLOOR(IF(Setup1!$C$40*(Food!N$3)&gt;N$4,N$4,Setup1!$C$40*(Food!N$3)),1)</f>
        <v>45</v>
      </c>
      <c r="O27">
        <f>FLOOR(IF(Setup1!$C$40*(Food!O$3)&gt;O$4,O$4,Setup1!$C$40*(Food!O$3)),1)</f>
        <v>54</v>
      </c>
      <c r="P27">
        <f>FLOOR(IF(Setup1!$C$40*(Food!P$3)&gt;P$4,P$4,Setup1!$C$40*(Food!P$3)),1)</f>
        <v>0</v>
      </c>
      <c r="Q27">
        <f>FLOOR(IF(Setup1!$C$40*(Food!Q$3)&gt;Q$4,Q$4,Setup1!$C$40*(Food!Q$3)),1)</f>
        <v>0</v>
      </c>
      <c r="R27">
        <f>FLOOR(IF(Setup1!$C$40*(Food!R$3)&gt;R$4,R$4,Setup1!$C$40*(Food!R$3)),1)</f>
        <v>0</v>
      </c>
    </row>
    <row r="28" spans="1:18" ht="12.75">
      <c r="A28" s="46" t="s">
        <v>289</v>
      </c>
      <c r="B28">
        <v>7</v>
      </c>
      <c r="C28">
        <f>FLOOR(IF(Setup1!$C$41*(Food!C$3)&gt;C$4,C$4,Setup1!$C$41*(Food!C$3)),1)</f>
        <v>87</v>
      </c>
      <c r="D28">
        <f>FLOOR(IF(Setup1!$C$41*(Food!D$3)&gt;D$4,D$4,Setup1!$C$41*(Food!D$3)),1)</f>
        <v>54</v>
      </c>
      <c r="E28">
        <f>FLOOR(IF(Setup1!$C$41*(Food!E$3)&gt;E$4,E$4,Setup1!$C$41*(Food!E$3)),1)</f>
        <v>65</v>
      </c>
      <c r="F28">
        <f>FLOOR(IF(Setup1!$C$41*(Food!F$3)&gt;F$4,F$4,Setup1!$C$41*(Food!F$3)),1)</f>
        <v>80</v>
      </c>
      <c r="G28">
        <f>FLOOR(IF(Setup1!$C$41*(Food!G$3)&gt;G$4,G$4,Setup1!$C$41*(Food!G$3)),1)</f>
        <v>85</v>
      </c>
      <c r="H28">
        <f>FLOOR(IF(Setup1!$C$41*(Food!H$3)&gt;H$4,H$4,Setup1!$C$41*(Food!H$3)),1)</f>
        <v>77</v>
      </c>
      <c r="I28">
        <f>FLOOR(IF(Setup1!$C$41*(Food!I$3)&gt;I$4,I$4,Setup1!$C$41*(Food!I$3)),1)</f>
        <v>69</v>
      </c>
      <c r="J28">
        <f>FLOOR(IF(Setup1!$C$41*(Food!J$3)&gt;J$4,J$4,Setup1!$C$41*(Food!J$3)),1)</f>
        <v>50</v>
      </c>
      <c r="K28">
        <f>FLOOR(IF(Setup1!$C$41*(Food!K$3)&gt;K$4,K$4,Setup1!$C$41*(Food!K$3)),1)</f>
        <v>60</v>
      </c>
      <c r="L28">
        <f>FLOOR(IF(Setup1!$C$41*(Food!L$3)&gt;L$4,L$4,Setup1!$C$41*(Food!L$3)),1)</f>
        <v>69</v>
      </c>
      <c r="M28">
        <f>FLOOR(IF(Setup1!$C$41*(Food!M$3)&gt;M$4,M$4,Setup1!$C$41*(Food!M$3)),1)</f>
        <v>89</v>
      </c>
      <c r="N28">
        <f>FLOOR(IF(Setup1!$C$41*(Food!N$3)&gt;N$4,N$4,Setup1!$C$41*(Food!N$3)),1)</f>
        <v>45</v>
      </c>
      <c r="O28">
        <f>FLOOR(IF(Setup1!$C$41*(Food!O$3)&gt;O$4,O$4,Setup1!$C$41*(Food!O$3)),1)</f>
        <v>54</v>
      </c>
      <c r="P28">
        <f>FLOOR(IF(Setup1!$C$41*(Food!P$3)&gt;P$4,P$4,Setup1!$C$41*(Food!P$3)),1)</f>
        <v>0</v>
      </c>
      <c r="Q28">
        <f>FLOOR(IF(Setup1!$C$41*(Food!Q$3)&gt;Q$4,Q$4,Setup1!$C$41*(Food!Q$3)),1)</f>
        <v>0</v>
      </c>
      <c r="R28">
        <f>FLOOR(IF(Setup1!$C$41*(Food!R$3)&gt;R$4,R$4,Setup1!$C$41*(Food!R$3)),1)</f>
        <v>0</v>
      </c>
    </row>
    <row r="29" spans="1:18" ht="12.75">
      <c r="A29" s="46" t="s">
        <v>290</v>
      </c>
      <c r="B29">
        <v>7</v>
      </c>
      <c r="C29">
        <f>FLOOR(IF(Setup1!$C$42*(Food!C$3)&gt;C$4,C$4,Setup1!$C$42*(Food!C$3)),1)</f>
        <v>87</v>
      </c>
      <c r="D29">
        <f>FLOOR(IF(Setup1!$C$42*(Food!D$3)&gt;D$4,D$4,Setup1!$C$42*(Food!D$3)),1)</f>
        <v>54</v>
      </c>
      <c r="E29">
        <f>FLOOR(IF(Setup1!$C$42*(Food!E$3)&gt;E$4,E$4,Setup1!$C$42*(Food!E$3)),1)</f>
        <v>65</v>
      </c>
      <c r="F29">
        <f>FLOOR(IF(Setup1!$C$42*(Food!F$3)&gt;F$4,F$4,Setup1!$C$42*(Food!F$3)),1)</f>
        <v>80</v>
      </c>
      <c r="G29">
        <f>FLOOR(IF(Setup1!$C$42*(Food!G$3)&gt;G$4,G$4,Setup1!$C$42*(Food!G$3)),1)</f>
        <v>85</v>
      </c>
      <c r="H29">
        <f>FLOOR(IF(Setup1!$C$42*(Food!H$3)&gt;H$4,H$4,Setup1!$C$42*(Food!H$3)),1)</f>
        <v>77</v>
      </c>
      <c r="I29">
        <f>FLOOR(IF(Setup1!$C$42*(Food!I$3)&gt;I$4,I$4,Setup1!$C$42*(Food!I$3)),1)</f>
        <v>69</v>
      </c>
      <c r="J29">
        <f>FLOOR(IF(Setup1!$C$42*(Food!J$3)&gt;J$4,J$4,Setup1!$C$42*(Food!J$3)),1)</f>
        <v>50</v>
      </c>
      <c r="K29">
        <f>FLOOR(IF(Setup1!$C$42*(Food!K$3)&gt;K$4,K$4,Setup1!$C$42*(Food!K$3)),1)</f>
        <v>60</v>
      </c>
      <c r="L29">
        <f>FLOOR(IF(Setup1!$C$42*(Food!L$3)&gt;L$4,L$4,Setup1!$C$42*(Food!L$3)),1)</f>
        <v>69</v>
      </c>
      <c r="M29">
        <f>FLOOR(IF(Setup1!$C$42*(Food!M$3)&gt;M$4,M$4,Setup1!$C$42*(Food!M$3)),1)</f>
        <v>89</v>
      </c>
      <c r="N29">
        <f>FLOOR(IF(Setup1!$C$42*(Food!N$3)&gt;N$4,N$4,Setup1!$C$42*(Food!N$3)),1)</f>
        <v>45</v>
      </c>
      <c r="O29">
        <f>FLOOR(IF(Setup1!$C$42*(Food!O$3)&gt;O$4,O$4,Setup1!$C$42*(Food!O$3)),1)</f>
        <v>54</v>
      </c>
      <c r="P29">
        <f>FLOOR(IF(Setup1!$C$42*(Food!P$3)&gt;P$4,P$4,Setup1!$C$42*(Food!P$3)),1)</f>
        <v>0</v>
      </c>
      <c r="Q29">
        <f>FLOOR(IF(Setup1!$C$42*(Food!Q$3)&gt;Q$4,Q$4,Setup1!$C$42*(Food!Q$3)),1)</f>
        <v>0</v>
      </c>
      <c r="R29">
        <f>FLOOR(IF(Setup1!$C$42*(Food!R$3)&gt;R$4,R$4,Setup1!$C$42*(Food!R$3)),1)</f>
        <v>0</v>
      </c>
    </row>
    <row r="30" spans="1:18" ht="12.75">
      <c r="A30" s="46" t="s">
        <v>100</v>
      </c>
      <c r="B30">
        <v>7</v>
      </c>
      <c r="C30">
        <f>FLOOR(IF(Setup1!$C$43*(Food!C$3)&gt;C$4,C$4,Setup1!$C$43*(Food!C$3)),1)</f>
        <v>87</v>
      </c>
      <c r="D30">
        <f>FLOOR(IF(Setup1!$C$43*(Food!D$3)&gt;D$4,D$4,Setup1!$C$43*(Food!D$3)),1)</f>
        <v>54</v>
      </c>
      <c r="E30">
        <f>FLOOR(IF(Setup1!$C$43*(Food!E$3)&gt;E$4,E$4,Setup1!$C$43*(Food!E$3)),1)</f>
        <v>65</v>
      </c>
      <c r="F30">
        <f>FLOOR(IF(Setup1!$C$43*(Food!F$3)&gt;F$4,F$4,Setup1!$C$43*(Food!F$3)),1)</f>
        <v>80</v>
      </c>
      <c r="G30">
        <f>FLOOR(IF(Setup1!$C$43*(Food!G$3)&gt;G$4,G$4,Setup1!$C$43*(Food!G$3)),1)</f>
        <v>85</v>
      </c>
      <c r="H30">
        <f>FLOOR(IF(Setup1!$C$43*(Food!H$3)&gt;H$4,H$4,Setup1!$C$43*(Food!H$3)),1)</f>
        <v>77</v>
      </c>
      <c r="I30">
        <f>FLOOR(IF(Setup1!$C$43*(Food!I$3)&gt;I$4,I$4,Setup1!$C$43*(Food!I$3)),1)</f>
        <v>69</v>
      </c>
      <c r="J30">
        <f>FLOOR(IF(Setup1!$C$43*(Food!J$3)&gt;J$4,J$4,Setup1!$C$43*(Food!J$3)),1)</f>
        <v>50</v>
      </c>
      <c r="K30">
        <f>FLOOR(IF(Setup1!$C$43*(Food!K$3)&gt;K$4,K$4,Setup1!$C$43*(Food!K$3)),1)</f>
        <v>60</v>
      </c>
      <c r="L30">
        <f>FLOOR(IF(Setup1!$C$43*(Food!L$3)&gt;L$4,L$4,Setup1!$C$43*(Food!L$3)),1)</f>
        <v>69</v>
      </c>
      <c r="M30">
        <f>FLOOR(IF(Setup1!$C$43*(Food!M$3)&gt;M$4,M$4,Setup1!$C$43*(Food!M$3)),1)</f>
        <v>89</v>
      </c>
      <c r="N30">
        <f>FLOOR(IF(Setup1!$C$43*(Food!N$3)&gt;N$4,N$4,Setup1!$C$43*(Food!N$3)),1)</f>
        <v>45</v>
      </c>
      <c r="O30">
        <f>FLOOR(IF(Setup1!$C$43*(Food!O$3)&gt;O$4,O$4,Setup1!$C$43*(Food!O$3)),1)</f>
        <v>54</v>
      </c>
      <c r="P30">
        <f>FLOOR(IF(Setup1!$C$43*(Food!P$3)&gt;P$4,P$4,Setup1!$C$43*(Food!P$3)),1)</f>
        <v>0</v>
      </c>
      <c r="Q30">
        <f>FLOOR(IF(Setup1!$C$43*(Food!Q$3)&gt;Q$4,Q$4,Setup1!$C$43*(Food!Q$3)),1)</f>
        <v>0</v>
      </c>
      <c r="R30">
        <f>FLOOR(IF(Setup1!$C$43*(Food!R$3)&gt;R$4,R$4,Setup1!$C$43*(Food!R$3)),1)</f>
        <v>0</v>
      </c>
    </row>
    <row r="31" spans="1:18" ht="12.75">
      <c r="A31" s="46" t="s">
        <v>344</v>
      </c>
      <c r="B31">
        <v>7</v>
      </c>
      <c r="C31">
        <f>FLOOR(IF(Setup2!$E$36*(Food!C$3)&gt;C$4,C$4,Setup2!$E$36*(Food!C$3)),1)</f>
        <v>86</v>
      </c>
      <c r="D31">
        <f>FLOOR(IF(Setup2!$E$36*(Food!D$3)&gt;D$4,D$4,Setup2!$E$36*(Food!D$3)),1)</f>
        <v>53</v>
      </c>
      <c r="E31">
        <f>FLOOR(IF(Setup2!$E$36*(Food!E$3)&gt;E$4,E$4,Setup2!$E$36*(Food!E$3)),1)</f>
        <v>65</v>
      </c>
      <c r="F31">
        <f>FLOOR(IF(Setup2!$E$36*(Food!F$3)&gt;F$4,F$4,Setup2!$E$36*(Food!F$3)),1)</f>
        <v>80</v>
      </c>
      <c r="G31">
        <f>FLOOR(IF(Setup2!$E$36*(Food!G$3)&gt;G$4,G$4,Setup2!$E$36*(Food!G$3)),1)</f>
        <v>84</v>
      </c>
      <c r="H31">
        <f>FLOOR(IF(Setup2!$E$36*(Food!H$3)&gt;H$4,H$4,Setup2!$E$36*(Food!H$3)),1)</f>
        <v>76</v>
      </c>
      <c r="I31">
        <f>FLOOR(IF(Setup2!$E$36*(Food!I$3)&gt;I$4,I$4,Setup2!$E$36*(Food!I$3)),1)</f>
        <v>69</v>
      </c>
      <c r="J31">
        <f>FLOOR(IF(Setup2!$E$36*(Food!J$3)&gt;J$4,J$4,Setup2!$E$36*(Food!J$3)),1)</f>
        <v>50</v>
      </c>
      <c r="K31">
        <f>FLOOR(IF(Setup2!$E$36*(Food!K$3)&gt;K$4,K$4,Setup2!$E$36*(Food!K$3)),1)</f>
        <v>60</v>
      </c>
      <c r="L31">
        <f>FLOOR(IF(Setup2!$E$36*(Food!L$3)&gt;L$4,L$4,Setup2!$E$36*(Food!L$3)),1)</f>
        <v>69</v>
      </c>
      <c r="M31">
        <f>FLOOR(IF(Setup2!$E$36*(Food!M$3)&gt;M$4,M$4,Setup2!$E$36*(Food!M$3)),1)</f>
        <v>88</v>
      </c>
      <c r="N31">
        <f>FLOOR(IF(Setup2!$E$36*(Food!N$3)&gt;N$4,N$4,Setup2!$E$36*(Food!N$3)),1)</f>
        <v>45</v>
      </c>
      <c r="O31">
        <f>FLOOR(IF(Setup2!$E$36*(Food!O$3)&gt;O$4,O$4,Setup2!$E$36*(Food!O$3)),1)</f>
        <v>53</v>
      </c>
      <c r="P31">
        <f>FLOOR(IF(Setup2!$E$36*(Food!P$3)&gt;P$4,P$4,Setup2!$E$36*(Food!P$3)),1)</f>
        <v>0</v>
      </c>
      <c r="Q31">
        <f>FLOOR(IF(Setup2!$E$36*(Food!Q$3)&gt;Q$4,Q$4,Setup2!$E$36*(Food!Q$3)),1)</f>
        <v>0</v>
      </c>
      <c r="R31">
        <f>FLOOR(IF(Setup2!$E$36*(Food!R$3)&gt;R$4,R$4,Setup2!$E$36*(Food!R$3)),1)</f>
        <v>0</v>
      </c>
    </row>
    <row r="32" spans="1:18" ht="12.75">
      <c r="A32" s="46" t="s">
        <v>345</v>
      </c>
      <c r="B32">
        <v>7</v>
      </c>
      <c r="C32">
        <f>FLOOR(IF(Setup2!$C$36*(Food!C$5)&gt;C$6,C$6,Setup1!$C$36*(Food!C$5)),1)</f>
        <v>0</v>
      </c>
      <c r="D32">
        <f>FLOOR(IF(Setup2!$C$36*(Food!D$5)&gt;D$6,D$6,Setup1!$C$36*(Food!D$5)),1)</f>
        <v>0</v>
      </c>
      <c r="E32">
        <f>FLOOR(IF(Setup2!$C$36*(Food!E$5)&gt;E$6,E$6,Setup1!$C$36*(Food!E$5)),1)</f>
        <v>0</v>
      </c>
      <c r="F32">
        <f>FLOOR(IF(Setup2!$C$36*(Food!F$5)&gt;F$6,F$6,Setup1!$C$36*(Food!F$5)),1)</f>
        <v>0</v>
      </c>
      <c r="G32">
        <f>FLOOR(IF(Setup2!$C$36*(Food!G$5)&gt;G$6,G$6,Setup1!$C$36*(Food!G$5)),1)</f>
        <v>0</v>
      </c>
      <c r="H32">
        <f>FLOOR(IF(Setup2!$C$36*(Food!H$5)&gt;H$6,H$6,Setup1!$C$36*(Food!H$5)),1)</f>
        <v>0</v>
      </c>
      <c r="I32">
        <v>5</v>
      </c>
      <c r="J32">
        <f>FLOOR(IF(Setup2!$C$36*(Food!J$5)&gt;J$6,J$6,Setup1!$C$36*(Food!J$5)),1)</f>
        <v>37</v>
      </c>
      <c r="K32">
        <f>FLOOR(IF(Setup2!$C$36*(Food!K$5)&gt;K$6,K$6,Setup1!$C$36*(Food!K$5)),1)</f>
        <v>0</v>
      </c>
      <c r="L32">
        <v>5</v>
      </c>
      <c r="M32">
        <f>FLOOR(IF(Setup2!$C$36*(Food!M$5)&gt;M$6,M$6,Setup1!$C$36*(Food!M$5)),1)</f>
        <v>0</v>
      </c>
      <c r="N32">
        <v>5</v>
      </c>
      <c r="O32">
        <f>FLOOR(IF(Setup2!$C$36*(Food!O$5)&gt;O$6,O$6,Setup1!$C$36*(Food!O$5)),1)</f>
        <v>0</v>
      </c>
      <c r="P32">
        <f>FLOOR(IF(Setup2!$C$36*(Food!P$5)&gt;P$6,P$6,Setup1!$C$36*(Food!P$5)),1)</f>
        <v>56</v>
      </c>
      <c r="Q32">
        <f>FLOOR(IF(Setup2!$C$36*(Food!Q$5)&gt;Q$6,Q$6,Setup1!$C$36*(Food!Q$5)),1)</f>
        <v>56</v>
      </c>
      <c r="R32">
        <f>FLOOR(IF(Setup2!$C$36*(Food!R19)&gt;R$6,R$6,Setup1!$C$36*(Food!R$5)),1)</f>
        <v>71</v>
      </c>
    </row>
    <row r="33" spans="1:18" ht="12.75">
      <c r="A33" s="46" t="s">
        <v>287</v>
      </c>
      <c r="B33">
        <v>7</v>
      </c>
      <c r="C33">
        <f>FLOOR(IF(Setup2!$C$26*(Food!C$3)&gt;C$4,C$4,Setup2!$C$26*(Food!C$3)),1)</f>
        <v>108</v>
      </c>
      <c r="D33">
        <f>FLOOR(IF(Setup2!$C$26*(Food!D$3)&gt;D$4,D$4,Setup2!$C$26*(Food!D$3)),1)</f>
        <v>67</v>
      </c>
      <c r="E33">
        <f>FLOOR(IF(Setup2!$C$26*(Food!E$3)&gt;E$4,E$4,Setup2!$C$26*(Food!E$3)),1)</f>
        <v>65</v>
      </c>
      <c r="F33">
        <f>FLOOR(IF(Setup2!$C$26*(Food!F$3)&gt;F$4,F$4,Setup2!$C$26*(Food!F$3)),1)</f>
        <v>80</v>
      </c>
      <c r="G33">
        <f>FLOOR(IF(Setup2!$C$26*(Food!G$3)&gt;G$4,G$4,Setup2!$C$26*(Food!G$3)),1)</f>
        <v>105</v>
      </c>
      <c r="H33">
        <f>FLOOR(IF(Setup2!$C$26*(Food!H$3)&gt;H$4,H$4,Setup2!$C$26*(Food!H$3)),1)</f>
        <v>96</v>
      </c>
      <c r="I33">
        <f>FLOOR(IF(Setup2!$C$26*(Food!I$3)&gt;I$4,I$4,Setup2!$C$26*(Food!I$3)),1)</f>
        <v>86</v>
      </c>
      <c r="J33">
        <f>FLOOR(IF(Setup2!$C$26*(Food!J$3)&gt;J$4,J$4,Setup2!$C$26*(Food!J$3)),1)</f>
        <v>50</v>
      </c>
      <c r="K33">
        <f>FLOOR(IF(Setup2!$C$26*(Food!K$3)&gt;K$4,K$4,Setup2!$C$26*(Food!K$3)),1)</f>
        <v>60</v>
      </c>
      <c r="L33">
        <f>FLOOR(IF(Setup2!$C$26*(Food!L$3)&gt;L$4,L$4,Setup2!$C$26*(Food!L$3)),1)</f>
        <v>86</v>
      </c>
      <c r="M33">
        <f>FLOOR(IF(Setup2!$C$26*(Food!M$3)&gt;M$4,M$4,Setup2!$C$26*(Food!M$3)),1)</f>
        <v>110</v>
      </c>
      <c r="N33">
        <f>FLOOR(IF(Setup2!$C$26*(Food!N$3)&gt;N$4,N$4,Setup2!$C$26*(Food!N$3)),1)</f>
        <v>45</v>
      </c>
      <c r="O33">
        <f>FLOOR(IF(Setup2!$C$26*(Food!O$3)&gt;O$4,O$4,Setup2!$C$26*(Food!O$3)),1)</f>
        <v>67</v>
      </c>
      <c r="P33">
        <f>FLOOR(IF(Setup2!$C$26*(Food!P$3)&gt;P$4,P$4,Setup2!$C$26*(Food!P$3)),1)</f>
        <v>0</v>
      </c>
      <c r="Q33">
        <f>FLOOR(IF(Setup2!$C$26*(Food!Q$3)&gt;Q$4,Q$4,Setup2!$C$26*(Food!Q$3)),1)</f>
        <v>0</v>
      </c>
      <c r="R33">
        <f>FLOOR(IF(Setup2!$C$26*(Food!R$3)&gt;R$4,R$4,Setup2!$C$26*(Food!R$3)),1)</f>
        <v>0</v>
      </c>
    </row>
    <row r="34" spans="1:18" ht="12.75">
      <c r="A34" s="46" t="s">
        <v>288</v>
      </c>
      <c r="B34">
        <v>7</v>
      </c>
      <c r="C34">
        <f>FLOOR(IF(Setup2!$C$40*(Food!C$3)&gt;C$4,C$4,Setup2!$C$40*(Food!C$3)),1)</f>
        <v>91</v>
      </c>
      <c r="D34">
        <f>FLOOR(IF(Setup2!$C$40*(Food!D$3)&gt;D$4,D$4,Setup2!$C$40*(Food!D$3)),1)</f>
        <v>56</v>
      </c>
      <c r="E34">
        <f>FLOOR(IF(Setup2!$C$40*(Food!E$3)&gt;E$4,E$4,Setup2!$C$40*(Food!E$3)),1)</f>
        <v>65</v>
      </c>
      <c r="F34">
        <f>FLOOR(IF(Setup2!$C$40*(Food!F$3)&gt;F$4,F$4,Setup2!$C$40*(Food!F$3)),1)</f>
        <v>80</v>
      </c>
      <c r="G34">
        <f>FLOOR(IF(Setup2!$C$40*(Food!G$3)&gt;G$4,G$4,Setup2!$C$40*(Food!G$3)),1)</f>
        <v>89</v>
      </c>
      <c r="H34">
        <f>FLOOR(IF(Setup2!$C$40*(Food!H$3)&gt;H$4,H$4,Setup2!$C$40*(Food!H$3)),1)</f>
        <v>81</v>
      </c>
      <c r="I34">
        <f>FLOOR(IF(Setup2!$C$40*(Food!I$3)&gt;I$4,I$4,Setup2!$C$40*(Food!I$3)),1)</f>
        <v>72</v>
      </c>
      <c r="J34">
        <f>FLOOR(IF(Setup2!$C$40*(Food!J$3)&gt;J$4,J$4,Setup2!$C$40*(Food!J$3)),1)</f>
        <v>50</v>
      </c>
      <c r="K34">
        <f>FLOOR(IF(Setup2!$C$40*(Food!K$3)&gt;K$4,K$4,Setup2!$C$40*(Food!K$3)),1)</f>
        <v>60</v>
      </c>
      <c r="L34">
        <f>FLOOR(IF(Setup2!$C$40*(Food!L$3)&gt;L$4,L$4,Setup2!$C$40*(Food!L$3)),1)</f>
        <v>72</v>
      </c>
      <c r="M34">
        <f>FLOOR(IF(Setup2!$C$40*(Food!M$3)&gt;M$4,M$4,Setup2!$C$40*(Food!M$3)),1)</f>
        <v>93</v>
      </c>
      <c r="N34">
        <f>FLOOR(IF(Setup2!$C$40*(Food!N$3)&gt;N$4,N$4,Setup2!$C$40*(Food!N$3)),1)</f>
        <v>45</v>
      </c>
      <c r="O34">
        <f>FLOOR(IF(Setup2!$C$40*(Food!O$3)&gt;O$4,O$4,Setup2!$C$40*(Food!O$3)),1)</f>
        <v>56</v>
      </c>
      <c r="P34">
        <f>FLOOR(IF(Setup2!$C$40*(Food!P$3)&gt;P$4,P$4,Setup2!$C$40*(Food!P$3)),1)</f>
        <v>0</v>
      </c>
      <c r="Q34">
        <f>FLOOR(IF(Setup2!$C$40*(Food!Q$3)&gt;Q$4,Q$4,Setup2!$C$40*(Food!Q$3)),1)</f>
        <v>0</v>
      </c>
      <c r="R34">
        <f>FLOOR(IF(Setup2!$C$40*(Food!R$3)&gt;R$4,R$4,Setup2!$C$40*(Food!R$3)),1)</f>
        <v>0</v>
      </c>
    </row>
    <row r="35" spans="1:18" ht="12.75">
      <c r="A35" s="46" t="s">
        <v>289</v>
      </c>
      <c r="B35">
        <v>7</v>
      </c>
      <c r="C35">
        <f>FLOOR(IF(Setup2!$C$41*(Food!C$3)&gt;C$4,C$4,Setup2!$C$41*(Food!C$3)),1)</f>
        <v>86</v>
      </c>
      <c r="D35">
        <f>FLOOR(IF(Setup2!$C$41*(Food!D$3)&gt;D$4,D$4,Setup2!$C$41*(Food!D$3)),1)</f>
        <v>53</v>
      </c>
      <c r="E35">
        <f>FLOOR(IF(Setup2!$C$41*(Food!E$3)&gt;E$4,E$4,Setup2!$C$41*(Food!E$3)),1)</f>
        <v>65</v>
      </c>
      <c r="F35">
        <f>FLOOR(IF(Setup2!$C$41*(Food!F$3)&gt;F$4,F$4,Setup2!$C$41*(Food!F$3)),1)</f>
        <v>80</v>
      </c>
      <c r="G35">
        <f>FLOOR(IF(Setup2!$C$41*(Food!G$3)&gt;G$4,G$4,Setup2!$C$41*(Food!G$3)),1)</f>
        <v>84</v>
      </c>
      <c r="H35">
        <f>FLOOR(IF(Setup2!$C$41*(Food!H$3)&gt;H$4,H$4,Setup2!$C$41*(Food!H$3)),1)</f>
        <v>76</v>
      </c>
      <c r="I35">
        <f>FLOOR(IF(Setup2!$C$41*(Food!I$3)&gt;I$4,I$4,Setup2!$C$41*(Food!I$3)),1)</f>
        <v>69</v>
      </c>
      <c r="J35">
        <f>FLOOR(IF(Setup2!$C$41*(Food!J$3)&gt;J$4,J$4,Setup2!$C$41*(Food!J$3)),1)</f>
        <v>50</v>
      </c>
      <c r="K35">
        <f>FLOOR(IF(Setup2!$C$41*(Food!K$3)&gt;K$4,K$4,Setup2!$C$41*(Food!K$3)),1)</f>
        <v>60</v>
      </c>
      <c r="L35">
        <f>FLOOR(IF(Setup2!$C$41*(Food!L$3)&gt;L$4,L$4,Setup2!$C$41*(Food!L$3)),1)</f>
        <v>69</v>
      </c>
      <c r="M35">
        <f>FLOOR(IF(Setup2!$C$41*(Food!M$3)&gt;M$4,M$4,Setup2!$C$41*(Food!M$3)),1)</f>
        <v>88</v>
      </c>
      <c r="N35">
        <f>FLOOR(IF(Setup2!$C$41*(Food!N$3)&gt;N$4,N$4,Setup2!$C$41*(Food!N$3)),1)</f>
        <v>45</v>
      </c>
      <c r="O35">
        <f>FLOOR(IF(Setup2!$C$41*(Food!O$3)&gt;O$4,O$4,Setup2!$C$41*(Food!O$3)),1)</f>
        <v>53</v>
      </c>
      <c r="P35">
        <f>FLOOR(IF(Setup2!$C$41*(Food!P$3)&gt;P$4,P$4,Setup2!$C$41*(Food!P$3)),1)</f>
        <v>0</v>
      </c>
      <c r="Q35">
        <f>FLOOR(IF(Setup2!$C$41*(Food!Q$3)&gt;Q$4,Q$4,Setup2!$C$41*(Food!Q$3)),1)</f>
        <v>0</v>
      </c>
      <c r="R35">
        <f>FLOOR(IF(Setup2!$C$41*(Food!R$3)&gt;R$4,R$4,Setup2!$C$41*(Food!R$3)),1)</f>
        <v>0</v>
      </c>
    </row>
    <row r="36" spans="1:18" ht="12.75">
      <c r="A36" s="46" t="s">
        <v>290</v>
      </c>
      <c r="B36">
        <v>7</v>
      </c>
      <c r="C36">
        <f>FLOOR(IF(Setup2!$C$42*(Food!C$3)&gt;C$4,C$4,Setup2!$C$42*(Food!C$3)),1)</f>
        <v>86</v>
      </c>
      <c r="D36">
        <f>FLOOR(IF(Setup2!$C$42*(Food!D$3)&gt;D$4,D$4,Setup2!$C$42*(Food!D$3)),1)</f>
        <v>53</v>
      </c>
      <c r="E36">
        <f>FLOOR(IF(Setup2!$C$42*(Food!E$3)&gt;E$4,E$4,Setup2!$C$42*(Food!E$3)),1)</f>
        <v>65</v>
      </c>
      <c r="F36">
        <f>FLOOR(IF(Setup2!$C$42*(Food!F$3)&gt;F$4,F$4,Setup2!$C$42*(Food!F$3)),1)</f>
        <v>80</v>
      </c>
      <c r="G36">
        <f>FLOOR(IF(Setup2!$C$42*(Food!G$3)&gt;G$4,G$4,Setup2!$C$42*(Food!G$3)),1)</f>
        <v>84</v>
      </c>
      <c r="H36">
        <f>FLOOR(IF(Setup2!$C$42*(Food!H$3)&gt;H$4,H$4,Setup2!$C$42*(Food!H$3)),1)</f>
        <v>76</v>
      </c>
      <c r="I36">
        <f>FLOOR(IF(Setup2!$C$42*(Food!I$3)&gt;I$4,I$4,Setup2!$C$42*(Food!I$3)),1)</f>
        <v>69</v>
      </c>
      <c r="J36">
        <f>FLOOR(IF(Setup2!$C$42*(Food!J$3)&gt;J$4,J$4,Setup2!$C$42*(Food!J$3)),1)</f>
        <v>50</v>
      </c>
      <c r="K36">
        <f>FLOOR(IF(Setup2!$C$42*(Food!K$3)&gt;K$4,K$4,Setup2!$C$42*(Food!K$3)),1)</f>
        <v>60</v>
      </c>
      <c r="L36">
        <f>FLOOR(IF(Setup2!$C$42*(Food!L$3)&gt;L$4,L$4,Setup2!$C$42*(Food!L$3)),1)</f>
        <v>69</v>
      </c>
      <c r="M36">
        <f>FLOOR(IF(Setup2!$C$42*(Food!M$3)&gt;M$4,M$4,Setup2!$C$42*(Food!M$3)),1)</f>
        <v>88</v>
      </c>
      <c r="N36">
        <f>FLOOR(IF(Setup2!$C$42*(Food!N$3)&gt;N$4,N$4,Setup2!$C$42*(Food!N$3)),1)</f>
        <v>45</v>
      </c>
      <c r="O36">
        <f>FLOOR(IF(Setup2!$C$42*(Food!O$3)&gt;O$4,O$4,Setup2!$C$42*(Food!O$3)),1)</f>
        <v>53</v>
      </c>
      <c r="P36">
        <f>FLOOR(IF(Setup2!$C$42*(Food!P$3)&gt;P$4,P$4,Setup2!$C$42*(Food!P$3)),1)</f>
        <v>0</v>
      </c>
      <c r="Q36">
        <f>FLOOR(IF(Setup2!$C$42*(Food!Q$3)&gt;Q$4,Q$4,Setup2!$C$42*(Food!Q$3)),1)</f>
        <v>0</v>
      </c>
      <c r="R36">
        <f>FLOOR(IF(Setup2!$C$42*(Food!R$3)&gt;R$4,R$4,Setup2!$C$42*(Food!R$3)),1)</f>
        <v>0</v>
      </c>
    </row>
    <row r="37" spans="1:18" ht="12.75">
      <c r="A37" s="46" t="s">
        <v>100</v>
      </c>
      <c r="B37">
        <v>7</v>
      </c>
      <c r="C37">
        <f>FLOOR(IF(Setup2!$C$43*(Food!C$3)&gt;C$4,C$4,Setup2!$C$43*(Food!C$3)),1)</f>
        <v>86</v>
      </c>
      <c r="D37">
        <f>FLOOR(IF(Setup2!$C$43*(Food!D$3)&gt;D$4,D$4,Setup2!$C$43*(Food!D$3)),1)</f>
        <v>53</v>
      </c>
      <c r="E37">
        <f>FLOOR(IF(Setup2!$C$43*(Food!E$3)&gt;E$4,E$4,Setup2!$C$43*(Food!E$3)),1)</f>
        <v>65</v>
      </c>
      <c r="F37">
        <f>FLOOR(IF(Setup2!$C$43*(Food!F$3)&gt;F$4,F$4,Setup2!$C$43*(Food!F$3)),1)</f>
        <v>80</v>
      </c>
      <c r="G37">
        <f>FLOOR(IF(Setup2!$C$43*(Food!G$3)&gt;G$4,G$4,Setup2!$C$43*(Food!G$3)),1)</f>
        <v>84</v>
      </c>
      <c r="H37">
        <f>FLOOR(IF(Setup2!$C$43*(Food!H$3)&gt;H$4,H$4,Setup2!$C$43*(Food!H$3)),1)</f>
        <v>76</v>
      </c>
      <c r="I37">
        <f>FLOOR(IF(Setup2!$C$43*(Food!I$3)&gt;I$4,I$4,Setup2!$C$43*(Food!I$3)),1)</f>
        <v>69</v>
      </c>
      <c r="J37">
        <f>FLOOR(IF(Setup2!$C$43*(Food!J$3)&gt;J$4,J$4,Setup2!$C$43*(Food!J$3)),1)</f>
        <v>50</v>
      </c>
      <c r="K37">
        <f>FLOOR(IF(Setup2!$C$43*(Food!K$3)&gt;K$4,K$4,Setup2!$C$43*(Food!K$3)),1)</f>
        <v>60</v>
      </c>
      <c r="L37">
        <f>FLOOR(IF(Setup2!$C$43*(Food!L$3)&gt;L$4,L$4,Setup2!$C$43*(Food!L$3)),1)</f>
        <v>69</v>
      </c>
      <c r="M37">
        <f>FLOOR(IF(Setup2!$C$43*(Food!M$3)&gt;M$4,M$4,Setup2!$C$43*(Food!M$3)),1)</f>
        <v>88</v>
      </c>
      <c r="N37">
        <f>FLOOR(IF(Setup2!$C$43*(Food!N$3)&gt;N$4,N$4,Setup2!$C$43*(Food!N$3)),1)</f>
        <v>45</v>
      </c>
      <c r="O37">
        <f>FLOOR(IF(Setup2!$C$43*(Food!O$3)&gt;O$4,O$4,Setup2!$C$43*(Food!O$3)),1)</f>
        <v>53</v>
      </c>
      <c r="P37">
        <f>FLOOR(IF(Setup2!$C$43*(Food!P$3)&gt;P$4,P$4,Setup2!$C$43*(Food!P$3)),1)</f>
        <v>0</v>
      </c>
      <c r="Q37">
        <f>FLOOR(IF(Setup2!$C$43*(Food!Q$3)&gt;Q$4,Q$4,Setup2!$C$43*(Food!Q$3)),1)</f>
        <v>0</v>
      </c>
      <c r="R37">
        <f>FLOOR(IF(Setup2!$C$43*(Food!R$3)&gt;R$4,R$4,Setup2!$C$43*(Food!R$3)),1)</f>
        <v>0</v>
      </c>
    </row>
    <row r="38" ht="12.75">
      <c r="A38" s="4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pane xSplit="1" topLeftCell="B1" activePane="topRight" state="frozen"/>
      <selection pane="topLeft" activeCell="A1" sqref="A1"/>
      <selection pane="topRight" activeCell="F8" sqref="F8"/>
    </sheetView>
  </sheetViews>
  <sheetFormatPr defaultColWidth="9.140625" defaultRowHeight="12.75"/>
  <cols>
    <col min="1" max="1" width="8.28125" style="45" bestFit="1" customWidth="1"/>
    <col min="2" max="4" width="12.8515625" style="0" bestFit="1" customWidth="1"/>
    <col min="5" max="6" width="15.00390625" style="0" customWidth="1"/>
    <col min="7" max="7" width="4.7109375" style="0" bestFit="1" customWidth="1"/>
    <col min="8" max="10" width="14.421875" style="0" customWidth="1"/>
    <col min="11" max="12" width="18.7109375" style="0" customWidth="1"/>
    <col min="13" max="15" width="18.00390625" style="0" customWidth="1"/>
    <col min="16" max="18" width="18.7109375" style="0" customWidth="1"/>
  </cols>
  <sheetData>
    <row r="1" spans="1:18" ht="12.75">
      <c r="A1" s="46" t="s">
        <v>358</v>
      </c>
      <c r="B1" s="12" t="s">
        <v>438</v>
      </c>
      <c r="C1" s="12" t="s">
        <v>439</v>
      </c>
      <c r="D1" s="12" t="s">
        <v>441</v>
      </c>
      <c r="E1" s="12" t="s">
        <v>360</v>
      </c>
      <c r="F1" s="12" t="s">
        <v>359</v>
      </c>
      <c r="G1" s="12" t="s">
        <v>440</v>
      </c>
      <c r="H1" s="12" t="s">
        <v>369</v>
      </c>
      <c r="I1" s="12" t="s">
        <v>371</v>
      </c>
      <c r="J1" s="12" t="s">
        <v>370</v>
      </c>
      <c r="K1" s="12" t="s">
        <v>361</v>
      </c>
      <c r="L1" s="12" t="s">
        <v>362</v>
      </c>
      <c r="M1" s="12" t="s">
        <v>363</v>
      </c>
      <c r="N1" s="12" t="s">
        <v>365</v>
      </c>
      <c r="O1" s="12" t="s">
        <v>364</v>
      </c>
      <c r="P1" s="12" t="s">
        <v>366</v>
      </c>
      <c r="Q1" s="12" t="s">
        <v>367</v>
      </c>
      <c r="R1" s="12" t="s">
        <v>368</v>
      </c>
    </row>
    <row r="2" spans="1:18" ht="12.75">
      <c r="A2" s="46" t="s">
        <v>264</v>
      </c>
      <c r="B2">
        <v>1</v>
      </c>
      <c r="C2">
        <f aca="true" t="shared" si="0" ref="C2:R2">B2+1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  <c r="L2">
        <f t="shared" si="0"/>
        <v>11</v>
      </c>
      <c r="M2">
        <f t="shared" si="0"/>
        <v>12</v>
      </c>
      <c r="N2">
        <f t="shared" si="0"/>
        <v>13</v>
      </c>
      <c r="O2">
        <f t="shared" si="0"/>
        <v>14</v>
      </c>
      <c r="P2">
        <f t="shared" si="0"/>
        <v>15</v>
      </c>
      <c r="Q2">
        <f t="shared" si="0"/>
        <v>16</v>
      </c>
      <c r="R2">
        <f t="shared" si="0"/>
        <v>17</v>
      </c>
    </row>
    <row r="3" spans="1:18" ht="12.75">
      <c r="A3" s="46" t="s">
        <v>5</v>
      </c>
      <c r="B3">
        <v>82</v>
      </c>
      <c r="C3">
        <v>83</v>
      </c>
      <c r="D3">
        <v>84</v>
      </c>
      <c r="E3">
        <v>81</v>
      </c>
      <c r="F3">
        <v>82</v>
      </c>
      <c r="G3">
        <v>92</v>
      </c>
      <c r="H3">
        <v>63</v>
      </c>
      <c r="I3">
        <v>64</v>
      </c>
      <c r="J3">
        <v>65</v>
      </c>
      <c r="K3">
        <v>82</v>
      </c>
      <c r="L3">
        <v>83</v>
      </c>
      <c r="M3">
        <v>81</v>
      </c>
      <c r="N3">
        <v>82</v>
      </c>
      <c r="O3">
        <v>83</v>
      </c>
      <c r="P3">
        <v>81</v>
      </c>
      <c r="Q3">
        <v>82</v>
      </c>
      <c r="R3">
        <v>83</v>
      </c>
    </row>
    <row r="4" spans="1:6" ht="12.75">
      <c r="A4" s="46" t="s">
        <v>8</v>
      </c>
      <c r="E4" s="38"/>
      <c r="F4" s="38"/>
    </row>
    <row r="5" spans="1:6" ht="12.75">
      <c r="A5" s="46" t="s">
        <v>10</v>
      </c>
      <c r="E5" s="38"/>
      <c r="F5" s="38"/>
    </row>
    <row r="6" spans="1:6" ht="12.75">
      <c r="A6" s="46" t="s">
        <v>12</v>
      </c>
      <c r="E6" s="38"/>
      <c r="F6" s="38"/>
    </row>
    <row r="7" spans="1:6" ht="12.75">
      <c r="A7" s="46" t="s">
        <v>14</v>
      </c>
      <c r="E7" s="1"/>
      <c r="F7" s="1"/>
    </row>
    <row r="8" spans="1:18" ht="12.75">
      <c r="A8" s="46" t="s">
        <v>16</v>
      </c>
      <c r="B8" s="1">
        <v>82</v>
      </c>
      <c r="C8" s="1">
        <v>82</v>
      </c>
      <c r="D8" s="1">
        <v>85</v>
      </c>
      <c r="E8" s="1">
        <v>67</v>
      </c>
      <c r="F8" s="1">
        <v>67</v>
      </c>
      <c r="G8" s="1">
        <v>120</v>
      </c>
      <c r="H8" s="1">
        <v>52</v>
      </c>
      <c r="I8" s="1">
        <v>52</v>
      </c>
      <c r="J8" s="1">
        <v>52</v>
      </c>
      <c r="K8">
        <v>77</v>
      </c>
      <c r="L8">
        <v>77</v>
      </c>
      <c r="M8" s="1">
        <v>77</v>
      </c>
      <c r="N8" s="1">
        <v>77</v>
      </c>
      <c r="O8" s="1">
        <v>77</v>
      </c>
      <c r="P8" s="1">
        <v>77</v>
      </c>
      <c r="Q8" s="1">
        <v>77</v>
      </c>
      <c r="R8" s="1">
        <v>77</v>
      </c>
    </row>
    <row r="9" spans="1:18" ht="12.75">
      <c r="A9" s="46" t="s">
        <v>18</v>
      </c>
      <c r="B9" s="1">
        <v>85</v>
      </c>
      <c r="C9" s="1">
        <v>85</v>
      </c>
      <c r="D9" s="1">
        <v>87</v>
      </c>
      <c r="E9" s="1">
        <v>67</v>
      </c>
      <c r="F9" s="1">
        <v>67</v>
      </c>
      <c r="G9" s="1">
        <v>120</v>
      </c>
      <c r="H9" s="1">
        <v>62</v>
      </c>
      <c r="I9" s="1">
        <v>63</v>
      </c>
      <c r="J9" s="1">
        <v>65</v>
      </c>
      <c r="K9">
        <v>76</v>
      </c>
      <c r="L9">
        <v>76</v>
      </c>
      <c r="M9" s="1">
        <v>96</v>
      </c>
      <c r="N9" s="1">
        <v>96</v>
      </c>
      <c r="O9" s="1">
        <v>96</v>
      </c>
      <c r="P9" s="1">
        <v>69</v>
      </c>
      <c r="Q9" s="1">
        <v>69</v>
      </c>
      <c r="R9" s="1">
        <v>69</v>
      </c>
    </row>
    <row r="10" spans="1:6" ht="12.75">
      <c r="A10" s="46" t="s">
        <v>20</v>
      </c>
      <c r="E10" s="1"/>
      <c r="F10" s="1"/>
    </row>
    <row r="11" spans="1:6" ht="12.75">
      <c r="A11" s="46" t="s">
        <v>22</v>
      </c>
      <c r="E11" s="1"/>
      <c r="F11" s="1"/>
    </row>
    <row r="12" spans="1:6" ht="12.75">
      <c r="A12" s="46" t="s">
        <v>24</v>
      </c>
      <c r="E12" s="1"/>
      <c r="F12" s="1"/>
    </row>
    <row r="13" spans="1:6" ht="12.75">
      <c r="A13" s="46" t="s">
        <v>30</v>
      </c>
      <c r="E13" s="1"/>
      <c r="F13" s="1"/>
    </row>
    <row r="14" spans="1:6" ht="12.75">
      <c r="A14" s="46" t="s">
        <v>33</v>
      </c>
      <c r="E14" s="1"/>
      <c r="F14" s="1"/>
    </row>
    <row r="15" spans="1:18" ht="12.75">
      <c r="A15" s="46" t="s">
        <v>37</v>
      </c>
      <c r="B15">
        <v>354</v>
      </c>
      <c r="C15">
        <v>359</v>
      </c>
      <c r="D15">
        <v>365</v>
      </c>
      <c r="E15" s="1">
        <v>322</v>
      </c>
      <c r="F15" s="1">
        <v>327</v>
      </c>
      <c r="G15">
        <v>400</v>
      </c>
      <c r="H15">
        <v>231</v>
      </c>
      <c r="I15">
        <v>235</v>
      </c>
      <c r="J15">
        <v>241</v>
      </c>
      <c r="K15">
        <v>341</v>
      </c>
      <c r="L15">
        <v>346</v>
      </c>
      <c r="M15" s="1">
        <v>336</v>
      </c>
      <c r="N15">
        <v>341</v>
      </c>
      <c r="O15">
        <v>346</v>
      </c>
      <c r="P15" s="1">
        <v>336</v>
      </c>
      <c r="Q15">
        <v>341</v>
      </c>
      <c r="R15">
        <v>346</v>
      </c>
    </row>
    <row r="16" spans="1:18" ht="12.75">
      <c r="A16" s="46" t="s">
        <v>39</v>
      </c>
      <c r="B16" s="1">
        <v>337</v>
      </c>
      <c r="C16" s="1">
        <v>342</v>
      </c>
      <c r="D16" s="1">
        <v>346</v>
      </c>
      <c r="E16" s="1">
        <v>334</v>
      </c>
      <c r="F16" s="1">
        <v>339</v>
      </c>
      <c r="G16" s="1">
        <v>400</v>
      </c>
      <c r="H16" s="1">
        <v>243</v>
      </c>
      <c r="I16" s="1">
        <v>247</v>
      </c>
      <c r="J16" s="1">
        <v>253</v>
      </c>
      <c r="K16">
        <v>318</v>
      </c>
      <c r="L16">
        <v>322</v>
      </c>
      <c r="M16" s="1">
        <v>424</v>
      </c>
      <c r="N16" s="1">
        <v>431</v>
      </c>
      <c r="O16" s="1">
        <v>436</v>
      </c>
      <c r="P16" s="1">
        <v>334</v>
      </c>
      <c r="Q16" s="1">
        <v>339</v>
      </c>
      <c r="R16" s="1">
        <v>344</v>
      </c>
    </row>
    <row r="17" ht="12.75">
      <c r="E1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Fox</cp:lastModifiedBy>
  <dcterms:created xsi:type="dcterms:W3CDTF">2009-01-21T19:43:07Z</dcterms:created>
  <dcterms:modified xsi:type="dcterms:W3CDTF">2009-02-16T21:43:22Z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